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75" yWindow="255" windowWidth="9255" windowHeight="8880" tabRatio="526"/>
  </bookViews>
  <sheets>
    <sheet name="Форма_2п" sheetId="1" r:id="rId1"/>
    <sheet name="Форма_3п" sheetId="4" state="hidden" r:id="rId2"/>
    <sheet name="пер2 СНГ" sheetId="5" state="hidden" r:id="rId3"/>
    <sheet name="Пер2СНГБеларусь" sheetId="6" state="hidden" r:id="rId4"/>
    <sheet name="пер2 вне СНГ" sheetId="7" state="hidden" r:id="rId5"/>
    <sheet name="Шаблон" sheetId="11" state="hidden" r:id="rId6"/>
    <sheet name="Cond_2p" sheetId="2" state="hidden" r:id="rId7"/>
    <sheet name="Subjects" sheetId="3" state="hidden" r:id="rId8"/>
    <sheet name="Cond_3p" sheetId="9" state="hidden" r:id="rId9"/>
    <sheet name="Лист1" sheetId="12" r:id="rId10"/>
  </sheets>
  <definedNames>
    <definedName name="__DdeLink__72_3229429469" localSheetId="0">Форма_2п!$A$308</definedName>
    <definedName name="_Toc38347883" localSheetId="0">Форма_2п!$A$163</definedName>
    <definedName name="_xlnm._FilterDatabase" localSheetId="0" hidden="1">Форма_2п!$B$1:$G$294</definedName>
    <definedName name="Z_0F955BED_3AA5_4ED9_8747_25E63CDA70F7_.wvu.Cols" localSheetId="0" hidden="1">Форма_2п!$C:$K</definedName>
    <definedName name="Z_0F955BED_3AA5_4ED9_8747_25E63CDA70F7_.wvu.FilterData" localSheetId="0" hidden="1">Форма_2п!$B$1:$G$294</definedName>
    <definedName name="Z_0F955BED_3AA5_4ED9_8747_25E63CDA70F7_.wvu.PrintArea" localSheetId="6" hidden="1">Cond_2p!$1:$1048576</definedName>
    <definedName name="Z_0F955BED_3AA5_4ED9_8747_25E63CDA70F7_.wvu.PrintTitles" localSheetId="0" hidden="1">Форма_2п!$4:$5</definedName>
    <definedName name="Z_0F955BED_3AA5_4ED9_8747_25E63CDA70F7_.wvu.Rows" localSheetId="0" hidden="1">Форма_2п!#REF!,Форма_2п!$3:$3</definedName>
    <definedName name="Z_1CCF9464_AEC0_4C0F_98A5_E7B17D04C7EE_.wvu.Cols" localSheetId="0" hidden="1">Форма_2п!$C:$K</definedName>
    <definedName name="Z_1CCF9464_AEC0_4C0F_98A5_E7B17D04C7EE_.wvu.FilterData" localSheetId="0" hidden="1">Форма_2п!$B$1:$G$294</definedName>
    <definedName name="Z_1CCF9464_AEC0_4C0F_98A5_E7B17D04C7EE_.wvu.PrintArea" localSheetId="6" hidden="1">Cond_2p!$1:$1048576</definedName>
    <definedName name="Z_1CCF9464_AEC0_4C0F_98A5_E7B17D04C7EE_.wvu.PrintTitles" localSheetId="0" hidden="1">Форма_2п!$4:$5</definedName>
    <definedName name="Z_2A0D3FC1_008C_421C_8185_69EEE9802E8F_.wvu.FilterData" localSheetId="0" hidden="1">Форма_2п!$B$1:$G$294</definedName>
    <definedName name="Z_4D3410BB_2371_487E_AAF7_AC8AFE6E56CA_.wvu.Cols" localSheetId="0" hidden="1">Форма_2п!$C:$K</definedName>
    <definedName name="Z_4D3410BB_2371_487E_AAF7_AC8AFE6E56CA_.wvu.FilterData" localSheetId="0" hidden="1">Форма_2п!$B$1:$G$294</definedName>
    <definedName name="Z_4D3410BB_2371_487E_AAF7_AC8AFE6E56CA_.wvu.PrintArea" localSheetId="6" hidden="1">Cond_2p!$1:$1048576</definedName>
    <definedName name="Z_4D3410BB_2371_487E_AAF7_AC8AFE6E56CA_.wvu.PrintTitles" localSheetId="0" hidden="1">Форма_2п!$4:$5</definedName>
    <definedName name="Z_77D4B8AA_2D12_454E_8920_2F102814BFC0_.wvu.PrintArea" localSheetId="1" hidden="1">Форма_3п!$A$1:$G$101</definedName>
    <definedName name="Z_A77FDE54_1C34_42D3_AB21_D5EA3CF0EB76_.wvu.FilterData" localSheetId="0" hidden="1">Форма_2п!$B$1:$G$294</definedName>
    <definedName name="Z_AC0A06EF_23F9_405C_A847_5A1F3FCA51B1_.wvu.FilterData" localSheetId="0" hidden="1">Форма_2п!$B$1:$G$294</definedName>
    <definedName name="Z_CA566A40_D8DF_4A83_8430_0418F2E4D7CA_.wvu.FilterData" localSheetId="0" hidden="1">Форма_2п!$B$1:$G$294</definedName>
    <definedName name="Z_F999748C_9832_11D8_83FB_00E04C392051_.wvu.Cols" localSheetId="0" hidden="1">Форма_2п!$C:$K</definedName>
    <definedName name="Z_F999748C_9832_11D8_83FB_00E04C392051_.wvu.FilterData" localSheetId="0" hidden="1">Форма_2п!$B$1:$G$294</definedName>
    <definedName name="Z_F999748C_9832_11D8_83FB_00E04C392051_.wvu.PrintArea" localSheetId="6" hidden="1">Cond_2p!$1:$1048576</definedName>
    <definedName name="Z_F999748C_9832_11D8_83FB_00E04C392051_.wvu.PrintTitles" localSheetId="0" hidden="1">Форма_2п!$4:$5</definedName>
    <definedName name="Z_F999748C_9832_11D8_83FB_00E04C392051_.wvu.Rows" localSheetId="0" hidden="1">Форма_2п!#REF!,Форма_2п!$3:$3</definedName>
    <definedName name="_xlnm.Print_Titles" localSheetId="0">Форма_2п!$4:$5</definedName>
    <definedName name="_xlnm.Print_Area" localSheetId="6">Cond_2p!$1:$1048576</definedName>
    <definedName name="_xlnm.Print_Area" localSheetId="0">Форма_2п!$A$1:$S$311</definedName>
  </definedNames>
  <calcPr calcId="124519"/>
  <customWorkbookViews>
    <customWorkbookView name="Долонина - Личное представление" guid="{77D4B8AA-2D12-454E-8920-2F102814BFC0}" mergeInterval="0" personalView="1" maximized="1" windowWidth="796" windowHeight="411" tabRatio="599" activeSheetId="5"/>
    <customWorkbookView name="Тиунов - Личное представление" guid="{0F955BED-3AA5-4ED9-8747-25E63CDA70F7}" mergeInterval="0" personalView="1" maximized="1" windowWidth="1020" windowHeight="606" activeSheetId="1"/>
    <customWorkbookView name="Специалист - Личное представление" guid="{F999748C-9832-11D8-83FB-00E04C392051}" mergeInterval="0" personalView="1" maximized="1" windowWidth="796" windowHeight="435" activeSheetId="1"/>
    <customWorkbookView name="Кадочников - Личное представление" guid="{1CCF9464-AEC0-4C0F-98A5-E7B17D04C7EE}" mergeInterval="0" personalView="1" maximized="1" windowWidth="796" windowHeight="411" tabRatio="601" activeSheetId="1"/>
    <customWorkbookView name="Сыпачева - Личное представление" guid="{4D3410BB-2371-487E-AAF7-AC8AFE6E56CA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P29" i="12"/>
  <c r="Q232" i="1"/>
  <c r="R232"/>
  <c r="J29" i="12"/>
  <c r="K28"/>
  <c r="J28"/>
  <c r="J24"/>
  <c r="J21"/>
  <c r="J17"/>
  <c r="K16"/>
  <c r="K13"/>
  <c r="J13"/>
  <c r="S282" i="1"/>
  <c r="S185"/>
  <c r="S186" s="1"/>
  <c r="S181"/>
  <c r="R123"/>
  <c r="R121" s="1"/>
  <c r="Q11" l="1"/>
  <c r="S232"/>
  <c r="Q230"/>
  <c r="S242"/>
  <c r="R242"/>
  <c r="Q242"/>
  <c r="S212"/>
  <c r="S223"/>
  <c r="R223"/>
  <c r="Q223"/>
  <c r="Q222"/>
  <c r="R68"/>
  <c r="R67"/>
  <c r="Q280"/>
  <c r="Q281"/>
  <c r="R252"/>
  <c r="R105"/>
  <c r="Q252"/>
  <c r="R230"/>
  <c r="Q125"/>
  <c r="P121"/>
  <c r="R106"/>
  <c r="S21"/>
  <c r="R228"/>
  <c r="S228"/>
  <c r="Q228"/>
  <c r="S230"/>
  <c r="S213"/>
  <c r="Q213"/>
  <c r="R213"/>
  <c r="R219"/>
  <c r="Q219"/>
  <c r="S220"/>
  <c r="R220"/>
  <c r="R221"/>
  <c r="Q220"/>
  <c r="S167"/>
  <c r="S162"/>
  <c r="R162"/>
  <c r="Q162"/>
  <c r="R167"/>
  <c r="Q167"/>
  <c r="Q7"/>
  <c r="S7"/>
  <c r="S11"/>
  <c r="M17"/>
  <c r="Q17"/>
  <c r="N20"/>
  <c r="O20"/>
  <c r="R20"/>
  <c r="N25"/>
  <c r="O25"/>
  <c r="P25"/>
  <c r="Q25"/>
  <c r="S25"/>
  <c r="S26"/>
  <c r="O26"/>
  <c r="Q26"/>
  <c r="O27"/>
  <c r="N31"/>
  <c r="O31"/>
  <c r="Q31"/>
  <c r="S17"/>
  <c r="N35"/>
  <c r="O35"/>
  <c r="R35"/>
  <c r="N36"/>
  <c r="O36"/>
  <c r="N41"/>
  <c r="O41"/>
  <c r="M42"/>
  <c r="N42"/>
  <c r="M43"/>
  <c r="N43"/>
  <c r="O43"/>
  <c r="O47"/>
  <c r="O50"/>
  <c r="L54"/>
  <c r="M67"/>
  <c r="M54"/>
  <c r="N67"/>
  <c r="O67"/>
  <c r="Q67"/>
  <c r="Q79"/>
  <c r="S67"/>
  <c r="S79"/>
  <c r="R79"/>
  <c r="Q73"/>
  <c r="S73"/>
  <c r="O78"/>
  <c r="P78"/>
  <c r="Q78"/>
  <c r="S78"/>
  <c r="N82"/>
  <c r="L83"/>
  <c r="M83"/>
  <c r="N83"/>
  <c r="M84"/>
  <c r="Q84"/>
  <c r="S84"/>
  <c r="L85"/>
  <c r="M85"/>
  <c r="N85"/>
  <c r="Q85"/>
  <c r="S85"/>
  <c r="L86"/>
  <c r="Q86"/>
  <c r="S86"/>
  <c r="L88"/>
  <c r="O95"/>
  <c r="Q95"/>
  <c r="S95"/>
  <c r="O98"/>
  <c r="Q98"/>
  <c r="S98"/>
  <c r="N106"/>
  <c r="O106"/>
  <c r="M110"/>
  <c r="N110"/>
  <c r="O110"/>
  <c r="O111"/>
  <c r="P110"/>
  <c r="S110"/>
  <c r="M111"/>
  <c r="N111"/>
  <c r="N112"/>
  <c r="O112"/>
  <c r="P112"/>
  <c r="O113"/>
  <c r="N118"/>
  <c r="O118"/>
  <c r="P118"/>
  <c r="Q118"/>
  <c r="R118"/>
  <c r="S118"/>
  <c r="S119"/>
  <c r="N130"/>
  <c r="N133"/>
  <c r="M135"/>
  <c r="N135"/>
  <c r="S135"/>
  <c r="O139"/>
  <c r="Q139"/>
  <c r="M144"/>
  <c r="N144"/>
  <c r="Q144"/>
  <c r="N145"/>
  <c r="O145"/>
  <c r="L161"/>
  <c r="M161"/>
  <c r="O161"/>
  <c r="N173"/>
  <c r="M178"/>
  <c r="N178"/>
  <c r="N179"/>
  <c r="O178"/>
  <c r="Q178"/>
  <c r="Q179"/>
  <c r="S178"/>
  <c r="S179"/>
  <c r="M179"/>
  <c r="M180"/>
  <c r="N180"/>
  <c r="M192"/>
  <c r="O192"/>
  <c r="Q192"/>
  <c r="S192"/>
  <c r="O200"/>
  <c r="P200"/>
  <c r="Q200"/>
  <c r="S200"/>
  <c r="N216"/>
  <c r="N219"/>
  <c r="O218"/>
  <c r="O219"/>
  <c r="M219"/>
  <c r="N222"/>
  <c r="S219"/>
  <c r="M220"/>
  <c r="O222"/>
  <c r="O224"/>
  <c r="O225"/>
  <c r="P225"/>
  <c r="Q225"/>
  <c r="M250"/>
  <c r="N250"/>
  <c r="N220"/>
  <c r="O250"/>
  <c r="O252"/>
  <c r="L256"/>
  <c r="M256"/>
  <c r="N256"/>
  <c r="O256"/>
  <c r="Q256"/>
  <c r="M257"/>
  <c r="N257"/>
  <c r="O257"/>
  <c r="Q257"/>
  <c r="S257"/>
  <c r="L273"/>
  <c r="N273"/>
  <c r="O273"/>
  <c r="Q273"/>
  <c r="S273"/>
  <c r="L275"/>
  <c r="N275"/>
  <c r="O275"/>
  <c r="Q275"/>
  <c r="S275"/>
  <c r="L276"/>
  <c r="N276"/>
  <c r="O276"/>
  <c r="Q276"/>
  <c r="S276"/>
  <c r="L277"/>
  <c r="N277"/>
  <c r="O277"/>
  <c r="Q277"/>
  <c r="S277"/>
  <c r="L279"/>
  <c r="M279"/>
  <c r="N279"/>
  <c r="O279"/>
  <c r="Q279"/>
  <c r="M280"/>
  <c r="N280"/>
  <c r="O280"/>
  <c r="S280"/>
  <c r="M281"/>
  <c r="N281"/>
  <c r="O281"/>
  <c r="S281"/>
  <c r="L282"/>
  <c r="M282"/>
  <c r="N282"/>
  <c r="O282"/>
  <c r="Q282"/>
  <c r="T296"/>
  <c r="M297"/>
  <c r="N297"/>
  <c r="O297"/>
  <c r="Q297"/>
  <c r="S297"/>
  <c r="M299"/>
  <c r="N299"/>
  <c r="O299"/>
  <c r="S299"/>
  <c r="L302"/>
  <c r="S180"/>
  <c r="Q221"/>
  <c r="Q180"/>
  <c r="O180"/>
  <c r="O179"/>
  <c r="S256"/>
  <c r="S221"/>
  <c r="S252"/>
  <c r="S229" l="1"/>
  <c r="S241"/>
  <c r="Q241"/>
  <c r="R241"/>
</calcChain>
</file>

<file path=xl/comments1.xml><?xml version="1.0" encoding="utf-8"?>
<comments xmlns="http://schemas.openxmlformats.org/spreadsheetml/2006/main">
  <authors>
    <author>ecr_ecr2</author>
    <author>Рогозина Ирина Григорьевна</author>
    <author>econom2</author>
    <author>ECR_ECR2</author>
  </authors>
  <commentList>
    <comment ref="O22" authorId="0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оценка 2011</t>
        </r>
      </text>
    </comment>
    <comment ref="N30" authorId="0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дефлятор предприятия</t>
        </r>
      </text>
    </comment>
    <comment ref="R105" authorId="1">
      <text>
        <r>
          <rPr>
            <b/>
            <sz val="8"/>
            <color indexed="81"/>
            <rFont val="Tahoma"/>
            <family val="2"/>
            <charset val="204"/>
          </rPr>
          <t>Рогозина Ирина Григорьевна:</t>
        </r>
        <r>
          <rPr>
            <sz val="8"/>
            <color indexed="81"/>
            <rFont val="Tahoma"/>
            <family val="2"/>
            <charset val="204"/>
          </rPr>
          <t xml:space="preserve">
расчет</t>
        </r>
      </text>
    </comment>
    <comment ref="N146" authorId="0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90,4% к объему 1 полугодия 2009</t>
        </r>
      </text>
    </comment>
    <comment ref="N192" authorId="0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данные статистики</t>
        </r>
      </text>
    </comment>
    <comment ref="N200" authorId="0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данные статистики</t>
        </r>
      </text>
    </comment>
    <comment ref="O242" authorId="0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статистика</t>
        </r>
      </text>
    </comment>
    <comment ref="L273" authorId="2">
      <text>
        <r>
          <rPr>
            <b/>
            <sz val="8"/>
            <color indexed="81"/>
            <rFont val="Tahoma"/>
            <family val="2"/>
            <charset val="204"/>
          </rPr>
          <t>econom2:</t>
        </r>
        <r>
          <rPr>
            <sz val="8"/>
            <color indexed="81"/>
            <rFont val="Tahoma"/>
            <family val="2"/>
            <charset val="204"/>
          </rPr>
          <t xml:space="preserve">
данные ЦРБ </t>
        </r>
      </text>
    </comment>
    <comment ref="L276" authorId="2">
      <text>
        <r>
          <rPr>
            <b/>
            <sz val="8"/>
            <color indexed="81"/>
            <rFont val="Tahoma"/>
            <family val="2"/>
            <charset val="204"/>
          </rPr>
          <t>econom2:</t>
        </r>
        <r>
          <rPr>
            <sz val="8"/>
            <color indexed="81"/>
            <rFont val="Tahoma"/>
            <family val="2"/>
            <charset val="204"/>
          </rPr>
          <t xml:space="preserve">
данные статистики</t>
        </r>
      </text>
    </comment>
    <comment ref="L294" authorId="3">
      <text>
        <r>
          <rPr>
            <b/>
            <sz val="8"/>
            <color indexed="81"/>
            <rFont val="Tahoma"/>
            <family val="2"/>
            <charset val="204"/>
          </rPr>
          <t>ECR_ECR2:</t>
        </r>
        <r>
          <rPr>
            <sz val="8"/>
            <color indexed="81"/>
            <rFont val="Tahoma"/>
            <family val="2"/>
            <charset val="204"/>
          </rPr>
          <t xml:space="preserve">
статистика янв март 09</t>
        </r>
      </text>
    </comment>
  </commentList>
</comments>
</file>

<file path=xl/sharedStrings.xml><?xml version="1.0" encoding="utf-8"?>
<sst xmlns="http://schemas.openxmlformats.org/spreadsheetml/2006/main" count="2497" uniqueCount="980">
  <si>
    <t>РАЗДЕЛ G: Оптовая и розничная торговля; ремонт автотранспортных средств, мотоциклов, бытовых изделий и предметов личного пользования</t>
  </si>
  <si>
    <t>Среднесписочная численность работников (без внешних совместителей) , занятых на малых предприятиях - всего</t>
  </si>
  <si>
    <t>Оборот малых предприятий</t>
  </si>
  <si>
    <t>Индекс производства</t>
  </si>
  <si>
    <t>Оборот малых предприятий - РАЗДЕЛ C: Добыча полезных ископаемых</t>
  </si>
  <si>
    <t>Оборот малых предприятий - РАЗДЕЛ D: Обрабатывающие производства</t>
  </si>
  <si>
    <t>Оборот малых предприятий - РАЗДЕЛ E: Производство и распределение электроэнергии, газа и воды</t>
  </si>
  <si>
    <t>Оборот малых предприятий - РАЗДЕЛ F: Строительство</t>
  </si>
  <si>
    <t>Индекс производства - РАЗДЕЛ F: Строительство</t>
  </si>
  <si>
    <t>Оборот малых предприятий - РАЗДЕЛ G: Оптовая и розничная торговля; ремонт автотранспортных средств, мотоциклов, бытовых изделий и предметов личного пользования</t>
  </si>
  <si>
    <t>Индекс производства - РАЗДЕЛ G: Оптовая и розничная торговля; ремонт автотранспортных средств, мотоциклов, бытовых изделий и предметов личного пользования</t>
  </si>
  <si>
    <t>6. Инвестиции</t>
  </si>
  <si>
    <t>Инвестиции в основной капитал за счет всех источников финансирования - всего</t>
  </si>
  <si>
    <t>Индекс физического объема, % к предыдущему году в сопоставимых ценах</t>
  </si>
  <si>
    <t>Индекс-дефлятор, % к предыдущему году</t>
  </si>
  <si>
    <t>Инвестиции в основной капитал за счет всех источников финансирования (без субъектов малого предпринимательства и параметров неформальной деятельности) - всего</t>
  </si>
  <si>
    <t>в том числе по видам экономической деятельности (без субъектов малого предпринимательства и параметров неформальной деятельности):</t>
  </si>
  <si>
    <t>РАЗДЕЛ A: Сельское хозяйство, охота и лесное хозяйство</t>
  </si>
  <si>
    <t>РАЗДЕЛ B: Рыболовство, рыбоводство</t>
  </si>
  <si>
    <t>Подраздел CA: Добыча топливно-энергетических полезных ископаемых</t>
  </si>
  <si>
    <t>Подраздел CB: Добыча полезных ископаемых, кроме топливно-энергетических</t>
  </si>
  <si>
    <t>Подраздел DA: Производство пищевых продуктов, включая напитки, и табака</t>
  </si>
  <si>
    <t>Подраздел DB: Текстильное и швейное производство</t>
  </si>
  <si>
    <t>Подраздел DC: Производство кожи, изделий из кожи и производство обуви</t>
  </si>
  <si>
    <t>Подраздел DD: Обработка древесины и производство изделий из дерева</t>
  </si>
  <si>
    <t>Подраздел DE: Целлюлозно-бумажное производство; издательская и полиграфическая деятельность</t>
  </si>
  <si>
    <t>Подраздел DF: Производство кокса, нефтепродуктов и ядерных материалов</t>
  </si>
  <si>
    <t>Подраздел DG: Химическое производство</t>
  </si>
  <si>
    <t>Подраздел DH: Производство резиновых и пластмассовых изделий</t>
  </si>
  <si>
    <t>Подраздел DI: Производство прочих неметаллических минеральных продуктов</t>
  </si>
  <si>
    <t>Подраздел DJ: Металлургическое производство и производство готовых металлических изделий</t>
  </si>
  <si>
    <t>Подраздел DK: Производство машин и оборудования</t>
  </si>
  <si>
    <t>Подраздел DL: Производство электрооборудования, электронного и оптического оборудования</t>
  </si>
  <si>
    <t>Подраздел DM: Производство транспортных средств и оборудования</t>
  </si>
  <si>
    <t>Подраздел DN: Прочие производства</t>
  </si>
  <si>
    <t>РАЗДЕЛ H: Гостиницы и рестораны</t>
  </si>
  <si>
    <t>РАЗДЕЛ I: Транспорт и связь</t>
  </si>
  <si>
    <t>РАЗДЕЛ J: Финансовая деятельность</t>
  </si>
  <si>
    <t>отчет 2009</t>
  </si>
  <si>
    <t>РАЗДЕЛ K: Операции с недвижимым имуществом, аренда и предоставление услуг</t>
  </si>
  <si>
    <t>РАЗДЕЛ L: Государственное управление и обеспечение военной безопасности; обязательное социальное обеспечение</t>
  </si>
  <si>
    <t>РАЗДЕЛ M: Образование</t>
  </si>
  <si>
    <t>РАЗДЕЛ N: Здравоохранение и предоставление социальных услуг</t>
  </si>
  <si>
    <t>РАЗДЕЛ O: Предоставление прочих коммунальных, социальных и персональных услуг</t>
  </si>
  <si>
    <t>РАЗДЕЛ Q: Деятельность экстерриториальных организаций</t>
  </si>
  <si>
    <t>Инвестиции в основной капитал по источникам финансирования без субъектов малого предпринимательства и параметров неформальной деятельности:</t>
  </si>
  <si>
    <t>Собственные средства предприятий</t>
  </si>
  <si>
    <t>прибыль</t>
  </si>
  <si>
    <t>амортизация</t>
  </si>
  <si>
    <t>Привлеченные средства</t>
  </si>
  <si>
    <t>кредиты банков</t>
  </si>
  <si>
    <t>в том числе кредиты иностранных банков</t>
  </si>
  <si>
    <t>заемные средства других организаций</t>
  </si>
  <si>
    <t>бюджетные средства</t>
  </si>
  <si>
    <t>из федерального бюджета</t>
  </si>
  <si>
    <t>из него по федеральной адресной инвестиционной программе</t>
  </si>
  <si>
    <t>из бюджетов субъектов федерации</t>
  </si>
  <si>
    <t>средства внебюджетных фондов</t>
  </si>
  <si>
    <t>прочие</t>
  </si>
  <si>
    <t>в том числе: средства от эмиссии акций</t>
  </si>
  <si>
    <t>Инвестиции в основной капитал, направляемые на реализацию федеральных целевых программ за счет всех источников финансирования</t>
  </si>
  <si>
    <t xml:space="preserve"> в том числе:</t>
  </si>
  <si>
    <t>за счет федерального бюджета - всего</t>
  </si>
  <si>
    <t>за счет бюджета субъекта Российской Федерации - всего</t>
  </si>
  <si>
    <t>тыс. долл. США</t>
  </si>
  <si>
    <t>прямые</t>
  </si>
  <si>
    <t>портфельные</t>
  </si>
  <si>
    <t>прочие (торговые кредиты, кредиты международных финансовых организаций, банковские вклады и др.)</t>
  </si>
  <si>
    <t>Объем работ, выполненных по виду деятельности "строительство"</t>
  </si>
  <si>
    <t>Создание новой стоимости</t>
  </si>
  <si>
    <r>
      <t xml:space="preserve">Ликвидация основных фондов по полной учетной </t>
    </r>
    <r>
      <rPr>
        <sz val="8"/>
        <rFont val="Tahoma"/>
        <family val="2"/>
      </rPr>
      <t>стоимости</t>
    </r>
  </si>
  <si>
    <t>Стоимость основных фондов по полной учетной стоимости на конец года</t>
  </si>
  <si>
    <t>7. Финансы</t>
  </si>
  <si>
    <t>налог на доходы физических лиц</t>
  </si>
  <si>
    <t>налог на добычу полезных ископаемых</t>
  </si>
  <si>
    <t>часть единого социального налога, централизуемая государственными внебюджетными фондами</t>
  </si>
  <si>
    <t>от государственных внебюджетных фондов</t>
  </si>
  <si>
    <t>из них за счет:</t>
  </si>
  <si>
    <t>средств федерального бюджета</t>
  </si>
  <si>
    <t>образование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</si>
  <si>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</si>
  <si>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</si>
  <si>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</si>
  <si>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</si>
  <si>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</si>
  <si>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8. Денежные доходы и расходы населения</t>
  </si>
  <si>
    <t>доходы от предпринимательской деятельности</t>
  </si>
  <si>
    <t>оплата труда</t>
  </si>
  <si>
    <t>социальные выплаты - всего</t>
  </si>
  <si>
    <t>пенсии</t>
  </si>
  <si>
    <t>пособия и социальная помощь</t>
  </si>
  <si>
    <t>стипендии</t>
  </si>
  <si>
    <t>доходы от собственности</t>
  </si>
  <si>
    <t>другие доходы</t>
  </si>
  <si>
    <t>Денежные доходы в расчете на душу населения в месяц</t>
  </si>
  <si>
    <t>рублей</t>
  </si>
  <si>
    <t>из них покупка товаров</t>
  </si>
  <si>
    <t>другие расходы</t>
  </si>
  <si>
    <t>Средний размер назначенных месячных пенсий пенсионеров, состоящих на учете в отделениях Пенсионного фонда РФ</t>
  </si>
  <si>
    <t>Величина прожиточного минимума в среднем на душу населения в месяц</t>
  </si>
  <si>
    <t>9. Труд и занятость</t>
  </si>
  <si>
    <t>Численность занятых в экономике (среднегодовая) - всего</t>
  </si>
  <si>
    <t>Распределение среднегодовой численности занятых в экономике по формам собственности:</t>
  </si>
  <si>
    <t>государственная и муниципальная форма собственности</t>
  </si>
  <si>
    <t>собственность общественных и религиозных организаций (объединений)</t>
  </si>
  <si>
    <t>смешанная российская форма собственности</t>
  </si>
  <si>
    <t>иностранная, совместная российская и иностранная формы собственности</t>
  </si>
  <si>
    <t>частная форма собственности</t>
  </si>
  <si>
    <t>в том числе занятые:</t>
  </si>
  <si>
    <t>в крестьянских (фермерских) хозяйствах (включая наемных работников)</t>
  </si>
  <si>
    <t>на частных предприятиях</t>
  </si>
  <si>
    <t>индивидуальным трудом и по найму у отдель-ных граждан, включая занятых в домашнем хозяйстве производством товаров и услуг для реализации (включая личное подсобное хозяйство)</t>
  </si>
  <si>
    <t>Учащиеся в трудоспособном возрасте, обучающиеся с отрывом от производства</t>
  </si>
  <si>
    <t>Численность безработных, зарегистрированных в органах государственной службы занятости</t>
  </si>
  <si>
    <t>Численность незанятых граждан, зарегистрированных в органах государственной службы занятости, в расчете на одну заявленную вакансию</t>
  </si>
  <si>
    <t>Среднесписочная численность работников организаций - всего</t>
  </si>
  <si>
    <t>Фонд заработной платы работников</t>
  </si>
  <si>
    <t>Просроченная задолженность по заработной плате работников к месячному фонду заработной платы на конец года</t>
  </si>
  <si>
    <t>10. Развитие социальной сферы</t>
  </si>
  <si>
    <t>Численность детей в дошкольных образовательных учреждениях</t>
  </si>
  <si>
    <t>город</t>
  </si>
  <si>
    <t>село</t>
  </si>
  <si>
    <t>Число заболеваний, зарегистрированных у больных с впервые установленном диагнозом (по основным классам болезней)</t>
  </si>
  <si>
    <t>больничными койками</t>
  </si>
  <si>
    <t>в том числе койками</t>
  </si>
  <si>
    <t xml:space="preserve">интенсивного лечения </t>
  </si>
  <si>
    <t xml:space="preserve">восстановительного лечения </t>
  </si>
  <si>
    <t>для лечения хронических больных</t>
  </si>
  <si>
    <t>в стационарных учреждениях социального обслуживания для престарелых и инвалидов (взрослых и детей)</t>
  </si>
  <si>
    <t>стационаров дневного пребывания</t>
  </si>
  <si>
    <t>амбулаторно-поликлиническими учреждениями</t>
  </si>
  <si>
    <t>врачами</t>
  </si>
  <si>
    <t>врачами общей практики (семейными врачами)</t>
  </si>
  <si>
    <t>средним медицинским персоналом</t>
  </si>
  <si>
    <t>стационарными учреждениями социального обслуживания престарелых и инвалидов (взрослых и детей)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</si>
  <si>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</si>
  <si>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</si>
  <si>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</si>
  <si>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</si>
  <si>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мест на 1 000 детей дошкольного возраста</t>
  </si>
  <si>
    <t>тыс. кв. м общей площади</t>
  </si>
  <si>
    <t>в том числе за счет:</t>
  </si>
  <si>
    <t>средств бюджетов субъектов Российской Федерации и средств местного бюджета</t>
  </si>
  <si>
    <t>из общего итога - индивидуальные жилые дома, построенные населением за свой счет и с помощью кредитов</t>
  </si>
  <si>
    <t>Общая площадь жилых помещений, приходящаяся на 1 жителя  (на конец года)</t>
  </si>
  <si>
    <t>кв. м</t>
  </si>
  <si>
    <t>отчет 2008</t>
  </si>
  <si>
    <t>Стоимость предоставляемых населению жилищно-коммунальных услуг, рассчитанная по экономически обоснованным тарифам</t>
  </si>
  <si>
    <t xml:space="preserve">Фактический уровень платежей населения за жилье и коммунальные услуги </t>
  </si>
  <si>
    <t>единиц на 100 тыс. населения</t>
  </si>
  <si>
    <t>Численность пенсионеров, состоящих на учете в Пенсионном фонде</t>
  </si>
  <si>
    <t>человек на 1 000 человек населения</t>
  </si>
  <si>
    <t>11. Охрана окружающей среды</t>
  </si>
  <si>
    <t>Инвестиции в основной капитал, направленные на охрану окружающей среды и рациональное использование природных ресурсов за счет всех источников финансирования</t>
  </si>
  <si>
    <t>бюджетов субъектов Российской Федерации и местных бюджетов</t>
  </si>
  <si>
    <t>собственных средств предприятий</t>
  </si>
  <si>
    <t>Сброс загрязненных сточных вод в поверхностные водные объекты</t>
  </si>
  <si>
    <t>Выбросы загрязняющих веществ в атмосферный воздух, отходящих от стационарных источников</t>
  </si>
  <si>
    <t>Объем водопотребления (использования свежей воды)</t>
  </si>
  <si>
    <t>12. Туризм</t>
  </si>
  <si>
    <t>Количество выезжавших в поездки жителей региона</t>
  </si>
  <si>
    <t>Объемы затрат жителей региона на поездки (с разбивкой по целям)</t>
  </si>
  <si>
    <t>Индексы цен на услуги предприятий туриндустрии</t>
  </si>
  <si>
    <t>услуги гостиниц и прочих мест проживания</t>
  </si>
  <si>
    <t>общественное питание</t>
  </si>
  <si>
    <t>экскурсионное обслуживание</t>
  </si>
  <si>
    <t>городской транспорт</t>
  </si>
  <si>
    <t>междугородный автобус</t>
  </si>
  <si>
    <t>железнодорожный транспорт</t>
  </si>
  <si>
    <r>
      <t xml:space="preserve">Основные показатели, представляемые для разработки прогноза социально-экономического развития  Российской Федерации на 2006 год и на период до 2009  года </t>
    </r>
    <r>
      <rPr>
        <sz val="9"/>
        <rFont val="Tahoma"/>
        <family val="2"/>
      </rPr>
      <t>(для субъектов Российской Федерации)</t>
    </r>
  </si>
  <si>
    <t>Пермский край</t>
  </si>
  <si>
    <t>Неналоговые доходы</t>
  </si>
  <si>
    <t>человек на 10 000 населения</t>
  </si>
  <si>
    <t>из них:</t>
  </si>
  <si>
    <t>Количество иностранных посетителей (нерезидентов):</t>
  </si>
  <si>
    <t>- СНГ</t>
  </si>
  <si>
    <t>- вне СНГ</t>
  </si>
  <si>
    <t>в том числе экскурсантов</t>
  </si>
  <si>
    <t>Количество российских посетителей из других регионов (резидентов)</t>
  </si>
  <si>
    <t>Объемы потребления иностранных посетителей с разбивкой</t>
  </si>
  <si>
    <t xml:space="preserve">Объемы потребления российских посетителей </t>
  </si>
  <si>
    <t>доля государственного сектора в общем объеме произведенной промышленной продукции (услуг), (всего, в том числе по отраслям  промышленности )*</t>
  </si>
  <si>
    <t>* - при необходимости можно добавить строки, на этом листе защиты нет</t>
  </si>
  <si>
    <t>Прочие доходы</t>
  </si>
  <si>
    <t>Средства, передаваемые на федеральный уровень власти</t>
  </si>
  <si>
    <t>Средства, получаемые от федерального уровня власти</t>
  </si>
  <si>
    <t>Всего доходов</t>
  </si>
  <si>
    <t>Расходы</t>
  </si>
  <si>
    <t>Затраты на государственные инвестиции</t>
  </si>
  <si>
    <t xml:space="preserve"> </t>
  </si>
  <si>
    <t>млн.кВт.ч.</t>
  </si>
  <si>
    <t>руб./тыс.кВт.ч.</t>
  </si>
  <si>
    <t xml:space="preserve">Индекс тарифов </t>
  </si>
  <si>
    <t>тыс. руб.</t>
  </si>
  <si>
    <t>Выплаты социального характера - всего</t>
  </si>
  <si>
    <t>Выпуск товаров и услуг</t>
  </si>
  <si>
    <t>Пиво</t>
  </si>
  <si>
    <t>Ювелирные изделия в фактических ценах (без НДС и акциза)</t>
  </si>
  <si>
    <t>Код ТН ВЭД*</t>
  </si>
  <si>
    <t>* - коды указаны  в соответствии с товарной номенклатурой, утвержденной постановлением Правительства Российской Федерации от 30 ноября 2001г. № 830</t>
  </si>
  <si>
    <t>2710195100-2710196900</t>
  </si>
  <si>
    <t>СТРАНЫ ВНЕ СНГ</t>
  </si>
  <si>
    <t>СТРАНЫ СНГ</t>
  </si>
  <si>
    <t>в т.ч.РЕСПУБЛИКА БЕЛАРУСЬ</t>
  </si>
  <si>
    <t>%, декабрь к декабрю предыдущего года</t>
  </si>
  <si>
    <t>тонн</t>
  </si>
  <si>
    <t>Удобрения минеральные (в пересчете на 100% питательных веществ)</t>
  </si>
  <si>
    <t>Показатели развития государственного сектора экономики на 2005 год</t>
  </si>
  <si>
    <t>2006 год прогноз</t>
  </si>
  <si>
    <t>2005 год оценка</t>
  </si>
  <si>
    <t>2004 год отчет</t>
  </si>
  <si>
    <t>Количество организаций госсектора, всего</t>
  </si>
  <si>
    <t>по отраслям экономики и промышленности</t>
  </si>
  <si>
    <t>по организационно-правовым формам (государственные унитарные предприятия; государственные учреждения; хозяйственные общества с долей госсобственности, превышающей 50% уставного капитала; хозяйственные общества, в уставном капитале которых более 50% акций (долей) находятся в собственности хозяйственных обществ, относящихся к госсектору) (далее – по организационно-правовым формам)</t>
  </si>
  <si>
    <t xml:space="preserve">доля государственного сектора в общем количестве организаций </t>
  </si>
  <si>
    <t>по организационно-правовым формам</t>
  </si>
  <si>
    <t xml:space="preserve">8. </t>
  </si>
  <si>
    <t>Количество приватизированных имущественных комплексов государственных унитарных предприятий, всего</t>
  </si>
  <si>
    <t xml:space="preserve">9. </t>
  </si>
  <si>
    <t>Средства, полученные от покупателей государственного имущества,всего</t>
  </si>
  <si>
    <t>от продажи акций открытых акционерных обществ</t>
  </si>
  <si>
    <t>от продажи государственного имущества (без продажи акций открытых акционерных обществ)</t>
  </si>
  <si>
    <t>от выкупа земельных участков собственниками объектов недвижимости</t>
  </si>
  <si>
    <t xml:space="preserve">10. </t>
  </si>
  <si>
    <t xml:space="preserve">Перечислено денежных средств, полученных от покупателей государственного имущества, всего </t>
  </si>
  <si>
    <t>в федеральный бюджет</t>
  </si>
  <si>
    <t xml:space="preserve">11. </t>
  </si>
  <si>
    <t xml:space="preserve">Средства, полученные от использования находящегося в госсобственности имущества, всего </t>
  </si>
  <si>
    <t>перечисленные в федеральный бюджет</t>
  </si>
  <si>
    <t>дивиденды по акциям организаций госсектора, принадлежащим государству, всего</t>
  </si>
  <si>
    <t>средства, полученные от сдачи в аренду имущества, находящегося в госсобственности, всего</t>
  </si>
  <si>
    <t>ВСЕГО</t>
  </si>
  <si>
    <t>Древесина необработанная</t>
  </si>
  <si>
    <t>Брёвна хвойных пород</t>
  </si>
  <si>
    <t>Брёвна лиственных пород</t>
  </si>
  <si>
    <t>Лесоматериалы, продольно распиленные</t>
  </si>
  <si>
    <t>Количество средних предприятий - всего по состоянию на конец года</t>
  </si>
  <si>
    <t>Транспорт и связь</t>
  </si>
  <si>
    <t>Операции с недвижимом имуществом, аренда и предоставление услуг</t>
  </si>
  <si>
    <t>Оборот средних предприятий</t>
  </si>
  <si>
    <t>тыс.кв.м общей площади</t>
  </si>
  <si>
    <t xml:space="preserve">   за счет средств местных бюджетов</t>
  </si>
  <si>
    <t xml:space="preserve">   индивидуальные жилые дома, построенные населением за свой счет и (или) с помощью кредитов</t>
  </si>
  <si>
    <t>тыс.кв. м</t>
  </si>
  <si>
    <t>тыс.чел</t>
  </si>
  <si>
    <t xml:space="preserve">Среднегодовая численность работников органов местного самоуправления </t>
  </si>
  <si>
    <r>
      <t>Примечание</t>
    </r>
    <r>
      <rPr>
        <sz val="12"/>
        <rFont val="Times New Roman"/>
        <family val="1"/>
      </rPr>
      <t>. По стоимостным показателям объем в ценах соответствующих лет рассчитываются: 2003 год – отчет,</t>
    </r>
  </si>
  <si>
    <t>2004 и 2005 годы – по индексам цен.</t>
  </si>
  <si>
    <t>№ п.п</t>
  </si>
  <si>
    <t>посещений в смену на 10 тыс. населения</t>
  </si>
  <si>
    <t>чел. на 10 тыс. населения</t>
  </si>
  <si>
    <t>в том числе:</t>
  </si>
  <si>
    <t>мест на 10 тыс. населения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</si>
  <si>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</si>
  <si>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млн.куб.м</t>
  </si>
  <si>
    <t>тыс.т.</t>
  </si>
  <si>
    <t>Объем оборотного и повторно-последовательного использования воды</t>
  </si>
  <si>
    <t>Страны вне СНГ</t>
  </si>
  <si>
    <t>Форма 2п</t>
  </si>
  <si>
    <t>Субъект Российской Федерации:</t>
  </si>
  <si>
    <t>Республика Адыгея</t>
  </si>
  <si>
    <t>Раздел показателей</t>
  </si>
  <si>
    <t>Показатели</t>
  </si>
  <si>
    <t>Единица измерения</t>
  </si>
  <si>
    <t>Код</t>
  </si>
  <si>
    <t>Доп. Код</t>
  </si>
  <si>
    <t>Код отрасли</t>
  </si>
  <si>
    <t>Форма собственности</t>
  </si>
  <si>
    <t>Измерение</t>
  </si>
  <si>
    <t>отчет</t>
  </si>
  <si>
    <t>оценка</t>
  </si>
  <si>
    <t>прогноз</t>
  </si>
  <si>
    <t>вариант 1</t>
  </si>
  <si>
    <t>вариант 2</t>
  </si>
  <si>
    <t>Численность постоянного населения (среднегодовая) - всего</t>
  </si>
  <si>
    <t>тыс.человек</t>
  </si>
  <si>
    <t>млн.руб. в ценах соответствующих лет</t>
  </si>
  <si>
    <t>промышленность</t>
  </si>
  <si>
    <t>строительство</t>
  </si>
  <si>
    <t>%</t>
  </si>
  <si>
    <t>из нее:</t>
  </si>
  <si>
    <t>Протяженность автомобильных дорог общего пользования с твердым покрытием</t>
  </si>
  <si>
    <t>единиц</t>
  </si>
  <si>
    <t>Прокат черных металлов готовый</t>
  </si>
  <si>
    <t>Автомобили грузовые</t>
  </si>
  <si>
    <t>Ткани хлопчатобумажные готовые</t>
  </si>
  <si>
    <t>Цельномолочная продукция (в пересчете на молоко)</t>
  </si>
  <si>
    <t>Из стран вне СНГ - Страны Балтии (справочно)</t>
  </si>
  <si>
    <t xml:space="preserve">Государства-участники СНГ </t>
  </si>
  <si>
    <t>Протяженность автомобильных дорог федерального значения</t>
  </si>
  <si>
    <t>Бензин автомобильный</t>
  </si>
  <si>
    <t>Топливо дизельное</t>
  </si>
  <si>
    <t>Мазут топочный</t>
  </si>
  <si>
    <t>Уголь</t>
  </si>
  <si>
    <t>Трубы стальные</t>
  </si>
  <si>
    <t>Полиэтилен</t>
  </si>
  <si>
    <t>Станки металлорежущие</t>
  </si>
  <si>
    <t>штук</t>
  </si>
  <si>
    <t>Тракторы</t>
  </si>
  <si>
    <t>Древесина деловая</t>
  </si>
  <si>
    <t>Пиломатериалы</t>
  </si>
  <si>
    <t>Бумага</t>
  </si>
  <si>
    <t>Цемент</t>
  </si>
  <si>
    <t>тыс.тонн</t>
  </si>
  <si>
    <t>Телевизоры</t>
  </si>
  <si>
    <t>Холодильники и морозильники бытовые</t>
  </si>
  <si>
    <t>Машины стиральные бытовые</t>
  </si>
  <si>
    <t>Электропылесосы</t>
  </si>
  <si>
    <t>Ткани хлопчатобумажные</t>
  </si>
  <si>
    <t>Изделия трикотажные</t>
  </si>
  <si>
    <t>Обувь</t>
  </si>
  <si>
    <t>Мясо, включая субпродукты 1 категории</t>
  </si>
  <si>
    <t>Яйца</t>
  </si>
  <si>
    <t>км</t>
  </si>
  <si>
    <t>тыс. единиц</t>
  </si>
  <si>
    <t>человек</t>
  </si>
  <si>
    <t>Овоши</t>
  </si>
  <si>
    <t xml:space="preserve">развития субъекта Российской Федерации на 2003 год по разделу </t>
  </si>
  <si>
    <t>Всего расходов</t>
  </si>
  <si>
    <t>Прибыль прибыльных организаций</t>
  </si>
  <si>
    <r>
      <t>Справочно:</t>
    </r>
    <r>
      <rPr>
        <sz val="8"/>
        <rFont val="Tahoma"/>
        <family val="2"/>
      </rPr>
      <t xml:space="preserve"> сальдо прибылей и убытков</t>
    </r>
  </si>
  <si>
    <t>Налоги на прибыль, доходы</t>
  </si>
  <si>
    <t>налог на прибыль организаций</t>
  </si>
  <si>
    <t>Налоги и взносы на социальные нужды</t>
  </si>
  <si>
    <t>Налоги на товары (работы, услуги), реализуемые на территории Российской Федерации</t>
  </si>
  <si>
    <t xml:space="preserve">налог на добавленную стоимость </t>
  </si>
  <si>
    <t xml:space="preserve">акцизы 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</si>
  <si>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</si>
  <si>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</si>
  <si>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</si>
  <si>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Итого доходов</t>
  </si>
  <si>
    <t>Сальдо взаимоотношений с федеральным уровнем власти</t>
  </si>
  <si>
    <t>Расходы за чет средств, остающихся в распоряжении организаций</t>
  </si>
  <si>
    <t>на инвестиции</t>
  </si>
  <si>
    <t>средств бюджета субъекта Федерации</t>
  </si>
  <si>
    <t>Общегосударственные вопросы</t>
  </si>
  <si>
    <t>фундаментальные исследования</t>
  </si>
  <si>
    <t xml:space="preserve">Численность постоянного населения (среднегодовая) </t>
  </si>
  <si>
    <t>обслуживание государственного и муниципального долга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</si>
  <si>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</si>
  <si>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</si>
  <si>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</si>
  <si>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</si>
  <si>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</si>
  <si>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Социально-культурные мероприятия</t>
  </si>
  <si>
    <t>культура, кинематография и средства массовой информации</t>
  </si>
  <si>
    <t>здравоохранение и спорт</t>
  </si>
  <si>
    <t>другие вопросы в области социальной политики</t>
  </si>
  <si>
    <t>Превышение доходов над расходами (+), или расходов на доходами (-)</t>
  </si>
  <si>
    <t>Прочие налоговые доходы</t>
  </si>
  <si>
    <t>Численность трудовых ресурсов</t>
  </si>
  <si>
    <t>Лица в трудоспособном возрасте не занятые трудовой деятельностью и учебой</t>
  </si>
  <si>
    <t>Численность безработных, рассчитанная по методологии МОТ</t>
  </si>
  <si>
    <t xml:space="preserve">млн.руб. </t>
  </si>
  <si>
    <t>Доходы - всего</t>
  </si>
  <si>
    <t>ИЗ СТРАН СНГ:</t>
  </si>
  <si>
    <t>Реальные располагаемые денежные доходы населения</t>
  </si>
  <si>
    <t>Расходы и сбережения - всего</t>
  </si>
  <si>
    <t>покупка товаров и оплата услуг</t>
  </si>
  <si>
    <t>обязательные платежи и разнообразные взносы</t>
  </si>
  <si>
    <t>Превышение доходов над расходами (+), или расходов над доходами (-)</t>
  </si>
  <si>
    <t>руб.</t>
  </si>
  <si>
    <t>Численность населения с денежными доходами ниже прожиточного минимума в % ко всему населению</t>
  </si>
  <si>
    <t>Оборот общественного питания</t>
  </si>
  <si>
    <t xml:space="preserve">Объем платных услуг населению </t>
  </si>
  <si>
    <t>Газ естественный (природный)</t>
  </si>
  <si>
    <t>Ввод в эксплуатацию жилых домов за счет всех источников финансирования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</si>
  <si>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</si>
  <si>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</si>
  <si>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</si>
  <si>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</si>
  <si>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</si>
  <si>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Выпуск специалистов учреждениями:</t>
  </si>
  <si>
    <t>Обеспеченность:</t>
  </si>
  <si>
    <t xml:space="preserve"> коек на 10 тыс.жителей</t>
  </si>
  <si>
    <t xml:space="preserve"> коек на 10 тыс. населения</t>
  </si>
  <si>
    <t>2003 год отчет</t>
  </si>
  <si>
    <t xml:space="preserve">Объем произведенной промышленной продукции (услуг) организациями государственного сектора экономики в действующих ценах </t>
  </si>
  <si>
    <t xml:space="preserve">индекс промышленного производства </t>
  </si>
  <si>
    <t>в % к  пред. году</t>
  </si>
  <si>
    <t xml:space="preserve"> %</t>
  </si>
  <si>
    <t xml:space="preserve">2. </t>
  </si>
  <si>
    <t>Производство продукции сельского хозяйства сельскохозяйственными организациями государственного сектора</t>
  </si>
  <si>
    <t>в действующих ценах</t>
  </si>
  <si>
    <t>индекс производства сельскохозяйственной продукции</t>
  </si>
  <si>
    <t xml:space="preserve">доля государственного сектора в общем объеме производства продукции сельского хозяйства сельскохозяйственными организациями </t>
  </si>
  <si>
    <t xml:space="preserve">3. </t>
  </si>
  <si>
    <t>Инвестиции в основной капитал организаций государственного сектора за счет всех источников финансирования, всего в ценах соответствующих лет</t>
  </si>
  <si>
    <t xml:space="preserve">в сопоставимых ценах </t>
  </si>
  <si>
    <t>доля государственного сектора в общем объеме инвестиций в основной капитал</t>
  </si>
  <si>
    <t xml:space="preserve">4. </t>
  </si>
  <si>
    <t>Среднесписочная численность работников (без внешних совместителей)  организаций госсектора экономики</t>
  </si>
  <si>
    <t>тыс. чел.</t>
  </si>
  <si>
    <t>доля численности работников организаций госсектора  в общей численности работников в целом по экономике</t>
  </si>
  <si>
    <t xml:space="preserve">5. </t>
  </si>
  <si>
    <t>Фонд начисленной заработной платы всех работников организаций госсектора</t>
  </si>
  <si>
    <t>млн. руб.</t>
  </si>
  <si>
    <t>Объем платных услуг населению, оказываемых организациями госсектора (с учетом НДС и налога с продаж), всего</t>
  </si>
  <si>
    <t>из них: по основным видам платных услуг населению:</t>
  </si>
  <si>
    <t>бытовые услуги</t>
  </si>
  <si>
    <t>транспортные услуги</t>
  </si>
  <si>
    <t>услуги связи</t>
  </si>
  <si>
    <t>жилищные услуги</t>
  </si>
  <si>
    <t>коммунальные услуги</t>
  </si>
  <si>
    <t>услуги учреждений культуры</t>
  </si>
  <si>
    <t>услуги в системе образования</t>
  </si>
  <si>
    <t>медицинские услуги</t>
  </si>
  <si>
    <t>туристские услуги</t>
  </si>
  <si>
    <t>услуги физической культуры и спорта</t>
  </si>
  <si>
    <t>- млн. рублей</t>
  </si>
  <si>
    <r>
      <t>в % к  пред. году</t>
    </r>
    <r>
      <rPr>
        <sz val="12"/>
        <rFont val="Times New Roman"/>
        <family val="1"/>
      </rPr>
      <t xml:space="preserve"> </t>
    </r>
  </si>
  <si>
    <t>санаторно-оздоровительные услуги</t>
  </si>
  <si>
    <t>услуги гостиниц и аналогичных средств размещения</t>
  </si>
  <si>
    <t>прочие виды платных услуг</t>
  </si>
  <si>
    <t>доля госсектора в общем объеме платных услуг населению</t>
  </si>
  <si>
    <t>по основным видам платных услуг населению, указанным выше</t>
  </si>
  <si>
    <t>Структура и использование государственной собственности</t>
  </si>
  <si>
    <t xml:space="preserve">7. </t>
  </si>
  <si>
    <t>Ожидаемая продолжительность жизни при рождении</t>
  </si>
  <si>
    <t>число лет</t>
  </si>
  <si>
    <t>человек на 1000 населения</t>
  </si>
  <si>
    <t>Уровень безработицы (по методологии МОТ)</t>
  </si>
  <si>
    <t>Уровень зарегистрированной безработицы</t>
  </si>
  <si>
    <t>Реальный размер назначенных пенсий</t>
  </si>
  <si>
    <t>единиц на 1000 человек населения</t>
  </si>
  <si>
    <t>Число зарегистрированных преступлений</t>
  </si>
  <si>
    <t>Мотоциклы</t>
  </si>
  <si>
    <t>Коньяки</t>
  </si>
  <si>
    <t>Вина виноградные</t>
  </si>
  <si>
    <t>Вина плодовые</t>
  </si>
  <si>
    <t>Вина шампанские и игристые</t>
  </si>
  <si>
    <t>Напитки слабоалкогольные с содержанием этилового спирта не более 9%</t>
  </si>
  <si>
    <t>Нефть, включая газовый конденсат</t>
  </si>
  <si>
    <t>Электроэнергия</t>
  </si>
  <si>
    <t>Товарная пищевая рыбная продукция, включая консервы рыбные</t>
  </si>
  <si>
    <t>Агинский Бурятский автономный округ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</si>
  <si>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</si>
  <si>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</si>
  <si>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</si>
  <si>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</si>
  <si>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</si>
  <si>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</si>
  <si>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</si>
  <si>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</si>
  <si>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</si>
  <si>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</si>
  <si>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</si>
  <si>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</si>
  <si>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</si>
  <si>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</si>
  <si>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</si>
  <si>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</si>
  <si>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Камчатская область</t>
  </si>
  <si>
    <t>02</t>
  </si>
  <si>
    <t>04</t>
  </si>
  <si>
    <t>30</t>
  </si>
  <si>
    <t>Карачаево-Черкесская Республика</t>
  </si>
  <si>
    <t>Кемеровская область</t>
  </si>
  <si>
    <t>Кировская область</t>
  </si>
  <si>
    <t>Корякский автономный округ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</si>
  <si>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</si>
  <si>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</si>
  <si>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</si>
  <si>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</si>
  <si>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</si>
  <si>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</si>
  <si>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</si>
  <si>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</si>
  <si>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</si>
  <si>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</si>
  <si>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</si>
  <si>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</si>
  <si>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</si>
  <si>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</si>
  <si>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</si>
  <si>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</si>
  <si>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ДВП</t>
  </si>
  <si>
    <t>ДСП</t>
  </si>
  <si>
    <t>Фанера</t>
  </si>
  <si>
    <t>млн.кв.м</t>
  </si>
  <si>
    <t>тыс.усл.куб.м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</si>
  <si>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</si>
  <si>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</si>
  <si>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</si>
  <si>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</si>
  <si>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</si>
  <si>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</si>
  <si>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</si>
  <si>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</si>
  <si>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</si>
  <si>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</si>
  <si>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</si>
  <si>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</si>
  <si>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</si>
  <si>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</si>
  <si>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</si>
  <si>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</si>
  <si>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</si>
  <si>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</si>
  <si>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</si>
  <si>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</si>
  <si>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</si>
  <si>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</si>
  <si>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</si>
  <si>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</si>
  <si>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</si>
  <si>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</si>
  <si>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</si>
  <si>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</si>
  <si>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</si>
  <si>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Таймырский (Долгано-Ненецкий) автономный округ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</si>
  <si>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</si>
  <si>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</si>
  <si>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</si>
  <si>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</si>
  <si>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</si>
  <si>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</si>
  <si>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</si>
  <si>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Усть-Ордынский Бурятский автономный округ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</si>
  <si>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</si>
  <si>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</si>
  <si>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</si>
  <si>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</si>
  <si>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Читинская область</t>
  </si>
  <si>
    <t>Чувашская Республика</t>
  </si>
  <si>
    <t>Чукотский автономный округ</t>
  </si>
  <si>
    <t>Эвенкийский автономный округ</t>
  </si>
  <si>
    <t>Ямало-Ненецкий автономный округ</t>
  </si>
  <si>
    <t>Ярославская область</t>
  </si>
  <si>
    <t>НЕ ВЫБРАН</t>
  </si>
  <si>
    <t>перечень №2</t>
  </si>
  <si>
    <t>В том числе:</t>
  </si>
  <si>
    <t xml:space="preserve">Индекс промышленного производства </t>
  </si>
  <si>
    <t xml:space="preserve">важнейших видов продукции для разработки прогноза социально-экономического </t>
  </si>
  <si>
    <t>Внешнеэкономическая деятельность</t>
  </si>
  <si>
    <t>Наименование продукции</t>
  </si>
  <si>
    <t xml:space="preserve"> Единицы измерения</t>
  </si>
  <si>
    <t>в натуральном выражении</t>
  </si>
  <si>
    <t>Млн. долл. США</t>
  </si>
  <si>
    <t>ЭКСПОРТ</t>
  </si>
  <si>
    <t>Уголь каменный</t>
  </si>
  <si>
    <t>Нефть сырая</t>
  </si>
  <si>
    <t>Нефтепродукты</t>
  </si>
  <si>
    <t>Газ природный</t>
  </si>
  <si>
    <t>млрд.куб.м</t>
  </si>
  <si>
    <t>млн.кВт-ч</t>
  </si>
  <si>
    <t>Удобрения азотные</t>
  </si>
  <si>
    <t>Удобрения калийные</t>
  </si>
  <si>
    <t>Удобрения смешанные</t>
  </si>
  <si>
    <t>Лесоматериалы необработанные</t>
  </si>
  <si>
    <t>тыс.куб.м</t>
  </si>
  <si>
    <t>Лесоматериалы обработанные</t>
  </si>
  <si>
    <t>4702-4704</t>
  </si>
  <si>
    <t>Целлюлоза древесная</t>
  </si>
  <si>
    <t>Черные металлы</t>
  </si>
  <si>
    <t>Медь рафинированная</t>
  </si>
  <si>
    <t>сельское хозяйство</t>
  </si>
  <si>
    <t>транспорт</t>
  </si>
  <si>
    <t>связь</t>
  </si>
  <si>
    <t>Никель необработанный</t>
  </si>
  <si>
    <t>Алюминий необработанный</t>
  </si>
  <si>
    <t>84-90</t>
  </si>
  <si>
    <t>Машины и оборудование</t>
  </si>
  <si>
    <t>-</t>
  </si>
  <si>
    <t>Автомобили легковые</t>
  </si>
  <si>
    <t>тыс.шт.</t>
  </si>
  <si>
    <t>ИМПОРТ</t>
  </si>
  <si>
    <t>0201-0204</t>
  </si>
  <si>
    <t>Прочие расходы</t>
  </si>
  <si>
    <t>Мясо свежее и мороженое</t>
  </si>
  <si>
    <t>0402</t>
  </si>
  <si>
    <t>Молоко и сливки сгущенные</t>
  </si>
  <si>
    <t>0405</t>
  </si>
  <si>
    <t>Масло сливочное</t>
  </si>
  <si>
    <t>Зерновые культуры</t>
  </si>
  <si>
    <t>Масло подсолнечное</t>
  </si>
  <si>
    <t>170111-170112</t>
  </si>
  <si>
    <t>Сахар-сырец</t>
  </si>
  <si>
    <t>Сахар белый</t>
  </si>
  <si>
    <t>Напитки алкогольные и безалкогольные</t>
  </si>
  <si>
    <t>4001-4002</t>
  </si>
  <si>
    <t>Каучук натуральный и синтетический</t>
  </si>
  <si>
    <t>Шерсть</t>
  </si>
  <si>
    <t>Волокно хлопковое, нечесаное</t>
  </si>
  <si>
    <t>Волокно льняное</t>
  </si>
  <si>
    <t>Ферросплавы</t>
  </si>
  <si>
    <t>7304-7306</t>
  </si>
  <si>
    <t>Свинец</t>
  </si>
  <si>
    <t>Пшеница и меслин</t>
  </si>
  <si>
    <t>(для субъектов Российской Федерации)</t>
  </si>
  <si>
    <t>(форма № 3п)</t>
  </si>
  <si>
    <t>1.</t>
  </si>
  <si>
    <t>6.</t>
  </si>
  <si>
    <t>тыс. человек</t>
  </si>
  <si>
    <t>млн. рублей</t>
  </si>
  <si>
    <t>Водка, дал 100% спирта</t>
  </si>
  <si>
    <t>Фосфаты кальция</t>
  </si>
  <si>
    <t>Руды и концентраты железные</t>
  </si>
  <si>
    <t>Кокс и полукокс</t>
  </si>
  <si>
    <t>Дизельное топливо</t>
  </si>
  <si>
    <t>Мазут</t>
  </si>
  <si>
    <t>Аммиак безводный</t>
  </si>
  <si>
    <t>Метанол</t>
  </si>
  <si>
    <t>Каучук синтетический</t>
  </si>
  <si>
    <t>Фанера клееная</t>
  </si>
  <si>
    <t>Бумага газетная</t>
  </si>
  <si>
    <t>5208-5212</t>
  </si>
  <si>
    <t>тыс.кв.м.</t>
  </si>
  <si>
    <t>72 (кроме 7201-7204)</t>
  </si>
  <si>
    <t>Черные металлы (кроме чугуна, ферросплавов, отходов и лома)</t>
  </si>
  <si>
    <t>Полуфабрикаты из углеродистой стали</t>
  </si>
  <si>
    <t>7208-7212</t>
  </si>
  <si>
    <t>Прокат плоский из углеродистой стали</t>
  </si>
  <si>
    <t>0207</t>
  </si>
  <si>
    <t>Мясо птицы свежее и мороженое</t>
  </si>
  <si>
    <t>0302-0304</t>
  </si>
  <si>
    <t>Рыба свежая и мороженая</t>
  </si>
  <si>
    <t>0805</t>
  </si>
  <si>
    <t>Цитрусовые</t>
  </si>
  <si>
    <t>0901</t>
  </si>
  <si>
    <t>Кофе</t>
  </si>
  <si>
    <t>0902</t>
  </si>
  <si>
    <t>Чай</t>
  </si>
  <si>
    <t>Ячмень</t>
  </si>
  <si>
    <t>Кукуруза</t>
  </si>
  <si>
    <t>Изделия и консервы из мяса</t>
  </si>
  <si>
    <t>Какао-бобы</t>
  </si>
  <si>
    <t>Продукты, содержащие какао</t>
  </si>
  <si>
    <t>Сигареты и сигары</t>
  </si>
  <si>
    <t>Руды и концентраты алюминиевые</t>
  </si>
  <si>
    <t>Антибиотики</t>
  </si>
  <si>
    <t>Зерно (в весе после доработки)</t>
  </si>
  <si>
    <t>Сахарная свекла</t>
  </si>
  <si>
    <t>Подсолнечник</t>
  </si>
  <si>
    <t>Картофель</t>
  </si>
  <si>
    <t>Скот и птица</t>
  </si>
  <si>
    <t>Молоко</t>
  </si>
  <si>
    <t>3003-3004</t>
  </si>
  <si>
    <t>Медикаменты</t>
  </si>
  <si>
    <t>Химические средства защиты растений</t>
  </si>
  <si>
    <t>61-62</t>
  </si>
  <si>
    <t>Одежда</t>
  </si>
  <si>
    <t>Обувь кожаная</t>
  </si>
  <si>
    <t>млн.пар</t>
  </si>
  <si>
    <t>9401-9403</t>
  </si>
  <si>
    <t>Мебель</t>
  </si>
  <si>
    <t>2710114100-2710115900</t>
  </si>
  <si>
    <t>Топливо реактивное</t>
  </si>
  <si>
    <t>2710193100-2710194900</t>
  </si>
  <si>
    <t>Единицы измерения</t>
  </si>
  <si>
    <t xml:space="preserve">     2.1. Выпуск товаров и услуг</t>
  </si>
  <si>
    <t xml:space="preserve">     2.2. Валовой региональный продукт</t>
  </si>
  <si>
    <t xml:space="preserve">     2.3. Промышленное производство</t>
  </si>
  <si>
    <t xml:space="preserve">            Добыча полезных ископаемых</t>
  </si>
  <si>
    <t xml:space="preserve">            Обрабатывающие производства</t>
  </si>
  <si>
    <t xml:space="preserve">            Производство и распределение электроэнергии, газа и воды</t>
  </si>
  <si>
    <t xml:space="preserve">     2.4. Сельское хозяйство</t>
  </si>
  <si>
    <t xml:space="preserve">     2.5. Транспорт и связь</t>
  </si>
  <si>
    <t xml:space="preserve">     2.6. Производство важнейших видов продукции в натуральном выражении </t>
  </si>
  <si>
    <t>Иностранные инвестиции</t>
  </si>
  <si>
    <t>Доходы</t>
  </si>
  <si>
    <t>млн.руб.</t>
  </si>
  <si>
    <t>Амортизационные отчисления</t>
  </si>
  <si>
    <t>1. Демографические показатели</t>
  </si>
  <si>
    <t>% к предыдущему году</t>
  </si>
  <si>
    <t>городского</t>
  </si>
  <si>
    <t xml:space="preserve">сельского </t>
  </si>
  <si>
    <t>Общий коэффициент рождаемости</t>
  </si>
  <si>
    <t>Общий коэффициент смертности</t>
  </si>
  <si>
    <t>Коэффициент естественного прироста</t>
  </si>
  <si>
    <t>Коэффициент миграционного прироста</t>
  </si>
  <si>
    <t>2. Производство товаров и услуг</t>
  </si>
  <si>
    <t>2.1. Выпуск товаров и услуг</t>
  </si>
  <si>
    <t>млн. руб. в основных ценах соответствующих лет</t>
  </si>
  <si>
    <t>2.2. Валовой региональный продукт</t>
  </si>
  <si>
    <t>Валовой региональный продукт - всего</t>
  </si>
  <si>
    <t>млн. руб. в ценах соответствующих лет</t>
  </si>
  <si>
    <t>% к предыдущему году в сопоставимых ценах</t>
  </si>
  <si>
    <t>индекс-дефлятор, % к пред. году</t>
  </si>
  <si>
    <t>2.3. Промышленное производство</t>
  </si>
  <si>
    <t>Индекс промышленного производства (РАЗДЕЛ C: Добыча полезных ископаемых+РАЗДЕЛ D: Обрабатывающие производства+РАЗДЕЛ E: Производство и распределение электроэнергии, газа и воды)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</si>
  <si>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</si>
  <si>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</t>
  </si>
  <si>
    <t>Индекс производства - РАЗДЕЛ C: Добыча полезных ископаемых</t>
  </si>
  <si>
    <t>Индекс-дефлятор - РАЗДЕЛ C: Добыча полезных ископаемых</t>
  </si>
  <si>
    <t>Объем отгруженных товаров собственного производства, выполненных работ и услуг собственными силами - Подраздел CA: Добыча топливно-энергетических полезных ископаемых</t>
  </si>
  <si>
    <t>Индекс производства - Подраздел CA: Добыча топливно-энергетических полезных ископаемых</t>
  </si>
  <si>
    <t>Индекс-дефлятор - Подраздел CA: Добыча топливно-энергетических полезных ископаемых</t>
  </si>
  <si>
    <t>Объем отгруженных товаров собственного производства, выполненных работ и услуг собственными силами - Подраздел CB: Добыча полезных ископаемых, кроме топливно-энергетических</t>
  </si>
  <si>
    <t>Индекс производства - Подраздел CB: Добыча полезных ископаемых, кроме топливно-энергетических</t>
  </si>
  <si>
    <t>Индекс-дефлятор - Подраздел CB: Добыча полезных ископаемых, кроме топливно-энергетических</t>
  </si>
  <si>
    <t>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</si>
  <si>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</t>
  </si>
  <si>
    <t>Индекс производства - РАЗДЕЛ D: Обрабатывающие производства</t>
  </si>
  <si>
    <t>Индекс-дефлятор - РАЗДЕЛ D: Обрабатывающие производства</t>
  </si>
  <si>
    <t>2.1. Промышленное производство</t>
  </si>
  <si>
    <t>Объем отгруженных товаров собственного производства, выполненных работ и услуг собственными силами - Подраздел DA: Производство пищевых продуктов, включая напитки, и табака</t>
  </si>
  <si>
    <t>Индекс производства -  Подраздел DA: Производство пищевых продуктов, включая напитки, и табака</t>
  </si>
  <si>
    <t>Индекс-дефлятор -  Подраздел DA: Производство пищевых продуктов, включая напитки, и табака</t>
  </si>
  <si>
    <t>Объем отгруженных товаров собственного производства, выполненных работ и услуг собственными силами - Подраздел DB: Текстильное и швейное производство</t>
  </si>
  <si>
    <t>Индекс производства -  Подраздел DB: Текстильное и швейное производство</t>
  </si>
  <si>
    <t>Индекс-дефлятор -  Подраздел DB: Текстильное и швейное производство</t>
  </si>
  <si>
    <t>Объем отгруженных товаров собственного производства, выполненных работ и услуг собственными силами - Подраздел DC: Производство кожи, изделий из кожи и производство обуви</t>
  </si>
  <si>
    <t>Индекс производства -  Подраздел DC: Производство кожи, изделий из кожи и производство обуви</t>
  </si>
  <si>
    <t>Индекс-дефлятор -  Подраздел DC: Производство кожи, изделий из кожи и производство обуви</t>
  </si>
  <si>
    <t>Объем отгруженных товаров собственного производства, выполненных работ и услуг собственными силами - Подраздел DD: Обработка древесины и производство изделий из дерева</t>
  </si>
  <si>
    <t>Индекс производства -  Подраздел DD: Обработка древесины и производство изделий из дерева</t>
  </si>
  <si>
    <t>Индекс-дефлятор -  Подраздел DD: Обработка древесины и производство изделий из дерева</t>
  </si>
  <si>
    <t>Объем отгруженных товаров собственного производства, выполненных работ и услуг собственными силами - Подраздел DE: Целлюлозно-бумажное производство; издательская и полиграфическая деятельность</t>
  </si>
  <si>
    <t>Индекс производства -  Подраздел DE: Целлюлозно-бумажное производство; издательская и полиграфическая деятельность</t>
  </si>
  <si>
    <t>Вывозка древесины</t>
  </si>
  <si>
    <t>Индекс-дефлятор -  Подраздел DE: Целлюлозно-бумажное производство; издательская и полиграфическая деятельность</t>
  </si>
  <si>
    <t>Объем отгруженных товаров собственного производства, выполненных работ и услуг собственными силами - Подраздел DF: Производство кокса, нефтепродуктов и ядерных материалов</t>
  </si>
  <si>
    <t>Индекс производства -  Подраздел DF: Производство кокса, нефтепродуктов и ядерных материалов</t>
  </si>
  <si>
    <t>Индекс-дефлятор -  Подраздел DF: Производство кокса, нефтепродуктов и ядерных материалов</t>
  </si>
  <si>
    <t>Объем отгруженных товаров собственного производства, выполненных работ и услуг собственными силами - Подраздел DG: Химическое производство</t>
  </si>
  <si>
    <t>Индекс производства -  Подраздел DG: Химическое производство</t>
  </si>
  <si>
    <t>Индекс-дефлятор -  Подраздел DG: Химическое производство</t>
  </si>
  <si>
    <t>Объем отгруженных товаров собственного производства, выполненных работ и услуг собственными силами - Подраздел DH: Производство резиновых и пластмассовых изделий</t>
  </si>
  <si>
    <t>Индекс производства -  Подраздел DH: Производство резиновых и пластмассовых изделий</t>
  </si>
  <si>
    <t>Индекс-дефлятор -  Подраздел DH: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</si>
  <si>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Подраздел DI: Производство прочих неметаллических минеральных продуктов</t>
  </si>
  <si>
    <t>Индекс производства -  Подраздел DI: Производство прочих неметаллических минеральных продуктов</t>
  </si>
  <si>
    <t>Индекс-дефлятор -  Подраздел DI: Производство прочих неметаллических минеральных продуктов</t>
  </si>
  <si>
    <t>Объем отгруженных товаров собственного производства, выполненных работ и услуг собственными силами - Подраздел DJ: Металлургическое производство и производство готовых металлических изделий</t>
  </si>
  <si>
    <t>Индекс производства -  Подраздел DJ: Металлургическое производство и производство готовых металлических изделий</t>
  </si>
  <si>
    <t>Индекс-дефлятор -  Подраздел DJ: Металлургическое производство и производство готовых металлических изделий</t>
  </si>
  <si>
    <t>Объем отгруженных товаров собственного производства, выполненных работ и услуг собственными силами - 38.9: Производство машин и оборудования без производства оружия и боеприпасов</t>
  </si>
  <si>
    <t>Индекс производства -  38.9: Производство машин и оборудования без производства оружия и боеприпасов</t>
  </si>
  <si>
    <t>Индекс-дефлятор -  38.9: Производство машин и оборудования без производства оружия и боеприпасов</t>
  </si>
  <si>
    <t>Объем отгруженных товаров собственного производства, выполненных работ и услуг собственными силами - Подраздел DL: Производство электрооборудования, электронного и оптического оборудования</t>
  </si>
  <si>
    <t>Индекс производства - Подраздел DL: Производство электрооборудования, электронного и оптического оборудования</t>
  </si>
  <si>
    <t>Индекс-дефлятор - Подраздел DL: Производство электрооборудования, электронного и оптического оборудования</t>
  </si>
  <si>
    <t>Объем отгруженных товаров собственного производства, выполненных работ и услуг собственными силами - Подраздел DM: Производство транспортных средств и оборудования</t>
  </si>
  <si>
    <t>Индекс производства - Подраздел DM: Производство транспортных средств и оборудования</t>
  </si>
  <si>
    <t>Индекс-дефлятор - Подраздел DM: Производство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</si>
  <si>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Подраздел DN: Прочие производства</t>
  </si>
  <si>
    <t>Индекс производства - Подраздел DN: Прочие производства</t>
  </si>
  <si>
    <t>Индекс-дефлятор - Подраздел DN: Прочие производства</t>
  </si>
  <si>
    <t>Производство и распределение электроэнергии, газа и воды</t>
  </si>
  <si>
    <t>Объем отгруженных товаров собственного производства, выполненных работ и услуг собственными силами - РАЗДЕЛ E: Производство и распределение электроэнергии, газа и воды</t>
  </si>
  <si>
    <t>Индекс производства - РАЗДЕЛ E: Производство и распределение электроэнергии, газа и воды</t>
  </si>
  <si>
    <t>Индекс-дефлятор - РАЗДЕЛ E: Производство и распределение электроэнергии, газа и воды</t>
  </si>
  <si>
    <t>Потребление электроэнергии</t>
  </si>
  <si>
    <t>в том числе по группам потребителей:</t>
  </si>
  <si>
    <t>Базовые потребители</t>
  </si>
  <si>
    <t>млн. кВт. ч.</t>
  </si>
  <si>
    <t>Население</t>
  </si>
  <si>
    <t>Прочие потребители</t>
  </si>
  <si>
    <t>Средние тарифы на электроэнергию, отпущенную различным категориям потребителей</t>
  </si>
  <si>
    <t>% декабрь к декабрю предыдущего года</t>
  </si>
  <si>
    <t xml:space="preserve"> в том числе по группам потребителей:</t>
  </si>
  <si>
    <t>2.4. Сельское хозяйство</t>
  </si>
  <si>
    <t>Объем продукции сельского хозяйства в хозяйствах всех категорий</t>
  </si>
  <si>
    <t>Индекс производства продукции сельского хозяйства в хозяйствах всех категорий</t>
  </si>
  <si>
    <t>Индекс-дефлятор продукции сельского хозяйства в хозяйствах всех категорий</t>
  </si>
  <si>
    <t>Растениеводство</t>
  </si>
  <si>
    <t>Индекс производства продукции растениеводства</t>
  </si>
  <si>
    <t>Индекс-дефлятор продукции растениеводства</t>
  </si>
  <si>
    <t>Животноводство</t>
  </si>
  <si>
    <t>Индекс производства продукции животноводства</t>
  </si>
  <si>
    <t>Индекс-дефлятор продукции животноводства</t>
  </si>
  <si>
    <t>Продукция сельского хозяйства по категориям хозяйств:</t>
  </si>
  <si>
    <t>Продукция в сельскохозяйственных организациях</t>
  </si>
  <si>
    <t>Индекс производства продукции в сельскохозяйственных организациях</t>
  </si>
  <si>
    <t>Продукция в крестьянских (фермерских) хозяйствах и у индивидуальных предпринимателей</t>
  </si>
  <si>
    <t>Индекс производства продукции в крестьянских (фермерских) хозяйствах и у индивидуальных предпринимателей</t>
  </si>
  <si>
    <t>Продукция в хозяйствах населения</t>
  </si>
  <si>
    <t>Индекс производства продукции в хозяйствах населения</t>
  </si>
  <si>
    <t>2.5. Транспорт и связь</t>
  </si>
  <si>
    <t>Густота автомобильных дорог общего пользования с твердым покрытием</t>
  </si>
  <si>
    <t>километров дорог на 1 000 квадратных километров территории</t>
  </si>
  <si>
    <t>Удельный вес автомобильных дорог с твердым покрытием в общей протяженности автомобильных дорог общего пользования</t>
  </si>
  <si>
    <t>Наличие квартирных телефонных аппаратов сети общего пользования в городской местности</t>
  </si>
  <si>
    <t>штук на 1 000 человек</t>
  </si>
  <si>
    <t>Наличие квартирных телефонных аппаратов сети общего пользования в сельской местности</t>
  </si>
  <si>
    <t xml:space="preserve">2.6. Производство важнейших видов продукции в натуральном выражении </t>
  </si>
  <si>
    <t>тыс. тонн</t>
  </si>
  <si>
    <t>млн. штук</t>
  </si>
  <si>
    <t>тыс. плот. куб. м</t>
  </si>
  <si>
    <t xml:space="preserve">млн. куб. м </t>
  </si>
  <si>
    <t>Сахар-песок, всего</t>
  </si>
  <si>
    <t xml:space="preserve">Масла растительные </t>
  </si>
  <si>
    <t>Спирт этиловый из пищевого сырья и технический- всего</t>
  </si>
  <si>
    <t>тыс. дкл</t>
  </si>
  <si>
    <t xml:space="preserve"> в т.ч. спирт этиловый из пищевого сырья</t>
  </si>
  <si>
    <t xml:space="preserve">Водка и ликеро-водочные изделия </t>
  </si>
  <si>
    <t xml:space="preserve">Hапитки винные (виноградные и плодовые) с содержанием спирта более 20% объемных </t>
  </si>
  <si>
    <t xml:space="preserve">Hапитки винные (виноградные и плодовые) с содержанием спирта до 20% объемных </t>
  </si>
  <si>
    <t>тыс. кв. м</t>
  </si>
  <si>
    <t>тыс. штук</t>
  </si>
  <si>
    <t>тыс. пар</t>
  </si>
  <si>
    <t>тыс. куб. м</t>
  </si>
  <si>
    <r>
      <t xml:space="preserve">Масла </t>
    </r>
    <r>
      <rPr>
        <sz val="8"/>
        <rFont val="Tahoma"/>
        <family val="2"/>
      </rPr>
      <t>смазочные нефтяные</t>
    </r>
  </si>
  <si>
    <t xml:space="preserve">Шины для грузовых автомобилей, автобусов и троллейбусов </t>
  </si>
  <si>
    <t xml:space="preserve">Шины для легковых автомобилей </t>
  </si>
  <si>
    <t>Кирпич строительный</t>
  </si>
  <si>
    <t>млн. условных кирпичей</t>
  </si>
  <si>
    <t>Блоки и камни мелкие стеновые (без блоков ячеистого бетона)</t>
  </si>
  <si>
    <t>Блоки крупные стеновые (включая бетонные блоки стен подвалов)</t>
  </si>
  <si>
    <t>индекс-дефлятор % к предыдущему году</t>
  </si>
  <si>
    <t xml:space="preserve">Объем отгруженных товаров собственного производства, выполненных работ и услуг собственными силами 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</si>
  <si>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</si>
  <si>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</si>
  <si>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Блоки мелкие стеновые из ячеистого бетона</t>
  </si>
  <si>
    <t xml:space="preserve">Автомобили легковые </t>
  </si>
  <si>
    <t>млрд. кВт. ч</t>
  </si>
  <si>
    <t>в том числе вырабатываемая:</t>
  </si>
  <si>
    <t xml:space="preserve"> АЭС</t>
  </si>
  <si>
    <t xml:space="preserve"> ТЭС</t>
  </si>
  <si>
    <t xml:space="preserve"> ГЭС </t>
  </si>
  <si>
    <t>3. Рынок товаров и услуг</t>
  </si>
  <si>
    <t>Индекс потребительских цен</t>
  </si>
  <si>
    <t>декабрь к декабрю предыдущего года, %</t>
  </si>
  <si>
    <t>Индекс потребительских цен (среднегодовой)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</si>
  <si>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</si>
  <si>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</si>
  <si>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</si>
  <si>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>Индекс физического объема оборота общественного питания</t>
  </si>
  <si>
    <t>Индекс цен на продукцию общественного питания</t>
  </si>
  <si>
    <t>Индекс-дефлятор по платным услугам</t>
  </si>
  <si>
    <t>ветеринарные услуги</t>
  </si>
  <si>
    <t>услуги правового характера</t>
  </si>
  <si>
    <t>прочие виды платных услуг населению</t>
  </si>
  <si>
    <t>4. Внешнеэкономическая деятельность</t>
  </si>
  <si>
    <t>Экспорт товаров и услуг - всего</t>
  </si>
  <si>
    <t xml:space="preserve"> млн. долл. США</t>
  </si>
  <si>
    <t>Экспорт услуг</t>
  </si>
  <si>
    <t>Импорт товаров и услуг - всего</t>
  </si>
  <si>
    <t>Импорт услуг</t>
  </si>
  <si>
    <t>в том числе по группам товаров:</t>
  </si>
  <si>
    <t>Продовольственные товары и сельскохозяйственное сырье (кроме текстильного) (код ТН ВЭД 01-24)</t>
  </si>
  <si>
    <t>Топливно-энергетические товары (27)</t>
  </si>
  <si>
    <t xml:space="preserve">Продукция химической промышленности, каучук (28-40) </t>
  </si>
  <si>
    <t>Древесина и целлюлозно-бумажные изделия (44-49)</t>
  </si>
  <si>
    <t>Металлы и изделия из них (72-83)</t>
  </si>
  <si>
    <t>Машины, оборудование и транспортные средства (84-90)</t>
  </si>
  <si>
    <t>Текстиль, текстильные  изделия  и обувь (50 - 67)</t>
  </si>
  <si>
    <t>5. Малое предпринимательство</t>
  </si>
  <si>
    <t>Количество малых предприятий - всего по состоянию на конец года</t>
  </si>
  <si>
    <t>в том числе по видам экономической деятельности:</t>
  </si>
  <si>
    <t>РАЗДЕЛ C: Добыча полезных ископаемых</t>
  </si>
  <si>
    <t>РАЗДЕЛ D: Обрабатывающие производства</t>
  </si>
  <si>
    <t>РАЗДЕЛ E: Производство и распределение электроэнергии, газа и воды</t>
  </si>
  <si>
    <t>РАЗДЕЛ F: Строительство</t>
  </si>
  <si>
    <t>…</t>
  </si>
  <si>
    <t>Примечание:</t>
  </si>
  <si>
    <t>Газпромтрансгаз</t>
  </si>
  <si>
    <t xml:space="preserve">ВГПУ </t>
  </si>
  <si>
    <t>Лукойл</t>
  </si>
  <si>
    <t>Динью</t>
  </si>
  <si>
    <t>с муниципалкой</t>
  </si>
  <si>
    <t>итого</t>
  </si>
  <si>
    <t>Адм города</t>
  </si>
  <si>
    <t>комитет</t>
  </si>
  <si>
    <t>дутово</t>
  </si>
  <si>
    <t>Подчерье</t>
  </si>
  <si>
    <t>Лемтыбож</t>
  </si>
  <si>
    <t>Усть-Соплеск</t>
  </si>
  <si>
    <t>Дутово</t>
  </si>
  <si>
    <t>Адм района</t>
  </si>
  <si>
    <t>Усть-соплеск</t>
  </si>
  <si>
    <t>культура</t>
  </si>
  <si>
    <t>угх</t>
  </si>
  <si>
    <t>вгпу</t>
  </si>
  <si>
    <t>ВГПУ</t>
  </si>
  <si>
    <t>Трансгаз</t>
  </si>
  <si>
    <t>Доля занятых в организациях муниципальной формы собственности в общей численности занятых по району</t>
  </si>
  <si>
    <t>По показателям обозначенным "…"   отчетных данных нет.</t>
  </si>
  <si>
    <t>динью</t>
  </si>
  <si>
    <t>Шахова</t>
  </si>
  <si>
    <t>ФУ</t>
  </si>
  <si>
    <t>Количество иностранных и российских посетителей в МО</t>
  </si>
  <si>
    <t>Объем экскурсионного обслуживания</t>
  </si>
  <si>
    <t>отчет 2010</t>
  </si>
  <si>
    <t>*</t>
  </si>
  <si>
    <t>Древесина деловая*</t>
  </si>
  <si>
    <t>Пиломатериалы*</t>
  </si>
  <si>
    <t>ревизионная комиссия</t>
  </si>
  <si>
    <t>2010г. Плюсом экскурсия по Вое - администрации!</t>
  </si>
  <si>
    <t>8. Туризм*</t>
  </si>
  <si>
    <t>* Примечание: в отчетных данных органа статистики приводятся сведения без учета деятельности микропредприятий и организаций со средней численностью работников до 15 человек включительно, не относящихся к субъектам малого предпринимательства. При этом на территории района осуществляют деятельность в сфере лесозаготовки именно организации - субъекты малого предпринимательства, что и учитывается по показателю в  прогнозе до 2014г.</t>
  </si>
  <si>
    <t xml:space="preserve">Численность постоянного населения на конец года </t>
  </si>
  <si>
    <t>пересмотрела на динамику 2011 года динамика -400 чел.</t>
  </si>
  <si>
    <t>Примечание: на момент составления  прогноза отчетная статистическая  информация об объеме продукции сельского хозяйства в хозяйствах всех категорий  за 2010г. отсутствует.</t>
  </si>
  <si>
    <t>январь-июль *2</t>
  </si>
  <si>
    <t>лукойл</t>
  </si>
  <si>
    <t xml:space="preserve">Общая площадь муниципального жилищного фонда </t>
  </si>
  <si>
    <r>
      <t xml:space="preserve">   общая площадь ветхого и  аварийного жилищного фонда </t>
    </r>
    <r>
      <rPr>
        <b/>
        <sz val="8"/>
        <rFont val="Tahoma"/>
        <family val="2"/>
        <charset val="204"/>
      </rPr>
      <t/>
    </r>
  </si>
  <si>
    <t>2.4. Строительство</t>
  </si>
  <si>
    <t>Объем работ, выполненных по виду деятельности "Строительство"</t>
  </si>
  <si>
    <t>Мясо и субпродукты пищевые убойных животных</t>
  </si>
  <si>
    <t>Мясо и субпродукты пищевые домашней птицы</t>
  </si>
  <si>
    <t>* Примечание: в отчетных данных органа статистики приводятся сведения без учета деятельности микропредприятий и организаций со средней численностью работников до 15 человек включительно, не относящихся к субъектам малого предпринимательства. При этом на территории района осуществляют деятельность в сфере лесозаготовки именно организации - субъекты малого предпринимательства, что и учитывается по показателю в  прогнозе до 2015г.</t>
  </si>
  <si>
    <t>Примечание: на момент составления  прогноза отчетная статистическая  информация об обороте общественного питания  за 2011г. отсутствует. В показателе "в % к предыдущему году в сопоставимых ценах"  на 2012г. указан прогноз физического объема оборота общественного питания,  осуществленный на основании данных, представленных организациями общественного питания.</t>
  </si>
  <si>
    <t>нет базы для оценки 2012</t>
  </si>
  <si>
    <t xml:space="preserve">Показатель "Объем отгруженных товаров собственного производства, выполненных работ и услуг собственными силами" за 2011год представлен по оперативным статистическим данным </t>
  </si>
  <si>
    <t>январь-март 12</t>
  </si>
  <si>
    <t>стройкомлпект</t>
  </si>
  <si>
    <t>вуктылпромстрой</t>
  </si>
  <si>
    <t>январь -март</t>
  </si>
  <si>
    <t>январь -март *4</t>
  </si>
  <si>
    <t>2.2. Сельское хозяйство</t>
  </si>
  <si>
    <t xml:space="preserve">2.3. Производство важнейших видов продукции в натуральном выражении </t>
  </si>
  <si>
    <t xml:space="preserve">учрежд. </t>
  </si>
  <si>
    <t>Охват детей и подростков в возрасте от 7 лет до 18 лет общим образованием (в проценте от численности детей и подростков соответствующего возраста)</t>
  </si>
  <si>
    <t>6. Труд и занятость</t>
  </si>
  <si>
    <t>7. Развитие социальной сферы</t>
  </si>
  <si>
    <t xml:space="preserve">    Миграционный прирост, убыль (-)</t>
  </si>
  <si>
    <t>млн руб. в ценах соответствующих лет</t>
  </si>
  <si>
    <t>Численность детей дошкольного возраста, посещающих дошкольные образовательные учреждения</t>
  </si>
  <si>
    <t>Число  дошкольных образовательных учреждений</t>
  </si>
  <si>
    <t xml:space="preserve">Охват детей дошкольным образованием (в проценте от численности детей соответствующего возраста)       </t>
  </si>
  <si>
    <t>Численность обучающихся в среднеобщеобразовательных учреждениях</t>
  </si>
  <si>
    <t xml:space="preserve">Умерших </t>
  </si>
  <si>
    <t xml:space="preserve">Родившихся </t>
  </si>
  <si>
    <t>Естественный прирост, убыль (-)</t>
  </si>
  <si>
    <t>Администрация (подведомственные МУ)</t>
  </si>
  <si>
    <t>Газ природный и попутный</t>
  </si>
  <si>
    <t xml:space="preserve"> % </t>
  </si>
  <si>
    <t>Обеспечение электрической энергией, газом и паром; кондиционирование воздуха</t>
  </si>
  <si>
    <t>Водоснабжение;  водоотведение, организация сбора и утилизация отходов, деятельность по ликвидации загрязнений</t>
  </si>
  <si>
    <t>4. Хозяйствующие субъекты</t>
  </si>
  <si>
    <t>Количество юридических лиц</t>
  </si>
  <si>
    <t>Численность индивидуальных предпринимателей</t>
  </si>
  <si>
    <t xml:space="preserve"> человек</t>
  </si>
  <si>
    <t>Численность населения в трудоспособном возрасте</t>
  </si>
  <si>
    <t>Фактический уровень платежей населения за жилье и коммунальные услуги</t>
  </si>
  <si>
    <t>8. Эффективность использования муниципального имущества муниципального образования городского округа  «Вуктыл»</t>
  </si>
  <si>
    <t>Доходы от продажи имущества, находящегося в муниципальной собственности, в том числе от продажи земли</t>
  </si>
  <si>
    <t>тыс. руб. </t>
  </si>
  <si>
    <t>Доходы от сдачи в аренду имущества, находящегося в муниципальной собственности, в том числе от сдачи в аренду земли</t>
  </si>
  <si>
    <t xml:space="preserve">% к предыдущему году </t>
  </si>
  <si>
    <t xml:space="preserve">    Бюджетные инвестиции в объекты капитального строительства муниципальной собственности</t>
  </si>
  <si>
    <t>пятерочка</t>
  </si>
  <si>
    <t>Муравьев</t>
  </si>
  <si>
    <t>иные учреждения</t>
  </si>
  <si>
    <t>спорт</t>
  </si>
  <si>
    <t>аквасервис</t>
  </si>
  <si>
    <t>Аквасервис</t>
  </si>
  <si>
    <t>=</t>
  </si>
  <si>
    <t>к</t>
  </si>
  <si>
    <t>**</t>
  </si>
  <si>
    <t>УО</t>
  </si>
  <si>
    <t>ФО</t>
  </si>
  <si>
    <t>УК</t>
  </si>
  <si>
    <t>ОС</t>
  </si>
  <si>
    <t>муниципалка</t>
  </si>
  <si>
    <r>
      <t xml:space="preserve">Фактический уровень платежей населения за жилье и коммунальные услуги </t>
    </r>
    <r>
      <rPr>
        <b/>
        <u/>
        <sz val="9"/>
        <rFont val="Times New Roman"/>
        <family val="1"/>
        <charset val="204"/>
      </rPr>
      <t>( по оплате)</t>
    </r>
  </si>
  <si>
    <t>Расчетные коэффициенты (процент) роста фонда заработной платы работников муниципальных учреждений, финансируемых из бюджета муниципального образования городского округа "Вуктыл"</t>
  </si>
  <si>
    <t>Среднегодовая численность занятых в муниципальных учреждениях, финансируемых из бюджета муниципального образования  городского округа  "Вуктыл"</t>
  </si>
  <si>
    <t>Оценка</t>
  </si>
  <si>
    <t xml:space="preserve">Доля занятых в муниципальных учреждениях, финансируемых из бюджета муниципального образования городского округа "Вуктыл"  в общей в среднесписочной численности работников организаций </t>
  </si>
  <si>
    <t>Фонд оплаты труда  работников муниципальных учреждений, финансируемых из бюджета муниципального образования городского округа "Вуктыл"</t>
  </si>
  <si>
    <t>* Значения показателей, обозначенных "к"   не публикуются органами статистики в целях обеспечения конфиденциальности первичных статистических данных, полученных от организаций</t>
  </si>
  <si>
    <t>*Статистический  показатель "Численность постоянного населения на конец года " оценивается органами статистики только по итогам прошедшего года.</t>
  </si>
  <si>
    <t xml:space="preserve">Предварительные итоги социально-экономического развития городского округа "Вуктыл" за 8 месяцев 2019г. и ожидаемые итоги социально-экономического развития городского округа "Вуктыл"   на 2019г. </t>
  </si>
  <si>
    <t>Отчет  за 8 месяцев 2019г.</t>
  </si>
  <si>
    <t>2019г.</t>
  </si>
  <si>
    <t>0,053**</t>
  </si>
  <si>
    <t>0,1**</t>
  </si>
  <si>
    <t>** Показатели естественного движения  и миграции населения  представлены по отчету за январь-июль 2019г.</t>
  </si>
  <si>
    <t>-0,047**</t>
  </si>
  <si>
    <t>0,051</t>
  </si>
  <si>
    <t>211*</t>
  </si>
  <si>
    <t>*Численность индивидуальных предпринимателей в соответствии с официальными статистическими данными представлена по состоянию на 01.07.2019г.</t>
  </si>
  <si>
    <t>5. Инвестиции*</t>
  </si>
  <si>
    <t xml:space="preserve">*Данные по показателю "Инвестиции в основной капитал за счет всех источников финансирования - всего"  и в разрезе по иточникам представлены по отчету за январь-июнь 2019г. </t>
  </si>
  <si>
    <t>4,079*</t>
  </si>
  <si>
    <t>1794,36*</t>
  </si>
  <si>
    <t>* Статистические  показатели "Оборот розничной торговли  "  и "Оборот общественного питания" оценивается органами статистики только по итогам прошедшего года. По состоянию на 01.10.2019 отсутствуют отчетные статистические данные по данным показателям за 2018 год, вместо показателя  "Оборот розничной торговли  " осуществлен прогноз показателя "Оборот розничной торговли продовольственными товарами", оценить значение показателя "Оброт общественного питания" по состоянию на 01.10.2019 не предосталвяется возможным.</t>
  </si>
  <si>
    <t>92**</t>
  </si>
  <si>
    <t>***</t>
  </si>
  <si>
    <t>Г.Р. Идрисова</t>
  </si>
  <si>
    <t xml:space="preserve">руководитель  администрации городского округа «Вуктыл»      </t>
  </si>
  <si>
    <t xml:space="preserve">Глава муниципального образования городского округа «Вуктыл» - </t>
  </si>
  <si>
    <t>Исп. И.Г. Рогозина</t>
  </si>
  <si>
    <t xml:space="preserve">Число среднеобщеобразовательных учреждений
</t>
  </si>
  <si>
    <t xml:space="preserve">* Показатели "Среднесписочная численность работников организаций - всего" и "Фонд заработной платы работников" представлены в соответствии с данными органа статистики  за период с января по июнь 2019 г.                                                                                                                                                                                                                                                    ** "Показатель "Численность населения в трудоспособном возрасте" оценивается органами статистики по итогам прошедшего года.                                                                                                                                     </t>
  </si>
  <si>
    <t xml:space="preserve">*   Поскольку показатель численности населения оценивается органами статистики по итогам прошедшего года, показатели обеспеченности общедоступными  библиотеками и учреждениями культурно-досугового типа в относительном показателе, измеряемом в числе учреждений на 100 тыс.населения, может быть оценен только по итогу прошедшего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 Фактический уровень платежей населения за жилье и коммунальные услуги в соответствии с официальными статистическими данными представлен по состоянию на 01.07.2019г.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 Отчетные статистические данные по состоянию на 01.09.2019 г. по показателю "Общая площадь жилых помещений, приходящаяся на 1 жителя  (на конец года)" отсутствуют.       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</si>
</sst>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0.0"/>
    <numFmt numFmtId="166" formatCode="_-* #,##0.0_р_._-;\-* #,##0.0_р_._-;_-* &quot;-&quot;??_р_._-;_-@_-"/>
  </numFmts>
  <fonts count="52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color indexed="9"/>
      <name val="Arial Cyr"/>
      <family val="2"/>
      <charset val="204"/>
    </font>
    <font>
      <sz val="8"/>
      <name val="Arial CYR"/>
      <family val="2"/>
      <charset val="204"/>
    </font>
    <font>
      <sz val="8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8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2"/>
      <name val="Times New Roman"/>
      <family val="1"/>
    </font>
    <font>
      <b/>
      <sz val="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8"/>
      <color indexed="10"/>
      <name val="Tahoma"/>
      <family val="2"/>
    </font>
    <font>
      <i/>
      <sz val="8"/>
      <name val="Tahoma"/>
      <family val="2"/>
    </font>
    <font>
      <b/>
      <i/>
      <sz val="8"/>
      <name val="Tahoma"/>
      <family val="2"/>
    </font>
    <font>
      <sz val="10"/>
      <name val="Times New Roman"/>
      <family val="1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6">
    <xf numFmtId="0" fontId="0" fillId="0" borderId="0" xfId="0"/>
    <xf numFmtId="49" fontId="5" fillId="0" borderId="0" xfId="0" applyNumberFormat="1" applyFont="1" applyFill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Border="1" applyProtection="1"/>
    <xf numFmtId="4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/>
    </xf>
    <xf numFmtId="49" fontId="5" fillId="0" borderId="0" xfId="0" applyNumberFormat="1" applyFont="1" applyFill="1" applyAlignment="1" applyProtection="1">
      <alignment horizontal="right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13" fillId="0" borderId="0" xfId="0" applyFont="1"/>
    <xf numFmtId="0" fontId="14" fillId="0" borderId="0" xfId="0" applyFont="1" applyFill="1"/>
    <xf numFmtId="0" fontId="12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/>
    <xf numFmtId="0" fontId="0" fillId="0" borderId="4" xfId="0" applyBorder="1" applyAlignment="1">
      <alignment wrapText="1"/>
    </xf>
    <xf numFmtId="0" fontId="0" fillId="0" borderId="0" xfId="0" applyFill="1"/>
    <xf numFmtId="1" fontId="11" fillId="0" borderId="0" xfId="0" applyNumberFormat="1" applyFont="1"/>
    <xf numFmtId="0" fontId="15" fillId="0" borderId="10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4" fillId="0" borderId="0" xfId="0" applyFont="1"/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wrapText="1"/>
    </xf>
    <xf numFmtId="0" fontId="0" fillId="0" borderId="0" xfId="0" applyProtection="1"/>
    <xf numFmtId="0" fontId="16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Fill="1" applyBorder="1"/>
    <xf numFmtId="0" fontId="17" fillId="0" borderId="13" xfId="0" applyFont="1" applyBorder="1" applyAlignment="1">
      <alignment horizontal="center" wrapText="1"/>
    </xf>
    <xf numFmtId="0" fontId="0" fillId="0" borderId="14" xfId="0" applyBorder="1"/>
    <xf numFmtId="0" fontId="13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3" fillId="0" borderId="0" xfId="0" applyFont="1" applyFill="1" applyBorder="1" applyProtection="1"/>
    <xf numFmtId="0" fontId="3" fillId="0" borderId="0" xfId="0" applyFont="1" applyFill="1" applyProtection="1"/>
    <xf numFmtId="1" fontId="6" fillId="0" borderId="0" xfId="0" applyNumberFormat="1" applyFont="1" applyFill="1" applyBorder="1" applyProtection="1"/>
    <xf numFmtId="0" fontId="0" fillId="0" borderId="0" xfId="0" applyAlignment="1" applyProtection="1"/>
    <xf numFmtId="0" fontId="8" fillId="0" borderId="0" xfId="0" applyFont="1" applyFill="1" applyBorder="1" applyAlignment="1" applyProtection="1">
      <alignment horizontal="centerContinuous" vertical="top" wrapText="1"/>
    </xf>
    <xf numFmtId="0" fontId="0" fillId="0" borderId="0" xfId="0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5" fillId="0" borderId="17" xfId="0" applyFont="1" applyFill="1" applyBorder="1" applyProtection="1"/>
    <xf numFmtId="2" fontId="10" fillId="0" borderId="17" xfId="0" applyNumberFormat="1" applyFont="1" applyFill="1" applyBorder="1" applyAlignment="1" applyProtection="1">
      <alignment horizontal="right" vertical="center"/>
    </xf>
    <xf numFmtId="2" fontId="10" fillId="0" borderId="17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0" fillId="0" borderId="14" xfId="0" applyBorder="1" applyProtection="1"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top" wrapText="1"/>
    </xf>
    <xf numFmtId="0" fontId="0" fillId="0" borderId="14" xfId="0" applyBorder="1" applyProtection="1"/>
    <xf numFmtId="0" fontId="12" fillId="0" borderId="0" xfId="0" applyFont="1" applyBorder="1" applyAlignment="1" applyProtection="1">
      <alignment horizontal="center" vertical="top" wrapText="1"/>
    </xf>
    <xf numFmtId="0" fontId="13" fillId="0" borderId="18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20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right" vertical="top" wrapText="1"/>
      <protection locked="0"/>
    </xf>
    <xf numFmtId="165" fontId="13" fillId="0" borderId="0" xfId="0" applyNumberFormat="1" applyFont="1" applyBorder="1" applyAlignment="1" applyProtection="1">
      <alignment horizontal="center" vertical="top" wrapText="1"/>
      <protection locked="0"/>
    </xf>
    <xf numFmtId="165" fontId="13" fillId="0" borderId="16" xfId="0" applyNumberFormat="1" applyFont="1" applyBorder="1" applyAlignment="1" applyProtection="1">
      <alignment horizontal="center" vertical="top" wrapText="1"/>
      <protection locked="0"/>
    </xf>
    <xf numFmtId="165" fontId="13" fillId="0" borderId="0" xfId="0" applyNumberFormat="1" applyFont="1" applyBorder="1" applyAlignment="1" applyProtection="1">
      <alignment horizontal="right" vertical="top" wrapText="1"/>
      <protection locked="0"/>
    </xf>
    <xf numFmtId="165" fontId="13" fillId="0" borderId="16" xfId="0" applyNumberFormat="1" applyFont="1" applyBorder="1" applyAlignment="1" applyProtection="1">
      <alignment horizontal="right" vertical="top"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1" fontId="13" fillId="0" borderId="16" xfId="0" applyNumberFormat="1" applyFont="1" applyBorder="1" applyAlignment="1" applyProtection="1">
      <alignment horizontal="center" vertical="top" wrapText="1"/>
      <protection locked="0"/>
    </xf>
    <xf numFmtId="0" fontId="13" fillId="0" borderId="19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right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13" fillId="0" borderId="0" xfId="0" applyFont="1" applyBorder="1" applyAlignment="1" applyProtection="1">
      <alignment horizontal="justify" vertical="top" wrapText="1"/>
      <protection locked="0"/>
    </xf>
    <xf numFmtId="0" fontId="13" fillId="0" borderId="16" xfId="0" applyFont="1" applyBorder="1" applyAlignment="1" applyProtection="1">
      <alignment horizontal="justify" vertical="top" wrapText="1"/>
      <protection locked="0"/>
    </xf>
    <xf numFmtId="0" fontId="0" fillId="0" borderId="18" xfId="0" applyBorder="1" applyProtection="1">
      <protection locked="0"/>
    </xf>
    <xf numFmtId="0" fontId="0" fillId="0" borderId="8" xfId="0" applyBorder="1" applyProtection="1">
      <protection locked="0"/>
    </xf>
    <xf numFmtId="2" fontId="0" fillId="0" borderId="0" xfId="0" applyNumberFormat="1" applyBorder="1" applyProtection="1">
      <protection locked="0"/>
    </xf>
    <xf numFmtId="2" fontId="11" fillId="0" borderId="0" xfId="0" applyNumberFormat="1" applyFont="1" applyFill="1" applyBorder="1" applyProtection="1">
      <protection locked="0"/>
    </xf>
    <xf numFmtId="2" fontId="11" fillId="0" borderId="0" xfId="0" applyNumberFormat="1" applyFont="1" applyBorder="1" applyProtection="1">
      <protection locked="0"/>
    </xf>
    <xf numFmtId="2" fontId="11" fillId="0" borderId="0" xfId="0" applyNumberFormat="1" applyFont="1" applyFill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11" fillId="0" borderId="0" xfId="0" applyNumberFormat="1" applyFont="1" applyFill="1" applyAlignment="1" applyProtection="1">
      <alignment horizontal="center"/>
      <protection locked="0"/>
    </xf>
    <xf numFmtId="2" fontId="1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2" fontId="24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21" xfId="0" applyNumberFormat="1" applyFont="1" applyFill="1" applyBorder="1" applyAlignment="1" applyProtection="1">
      <alignment horizontal="centerContinuous" vertical="center"/>
    </xf>
    <xf numFmtId="49" fontId="21" fillId="0" borderId="21" xfId="0" applyNumberFormat="1" applyFont="1" applyFill="1" applyBorder="1" applyAlignment="1" applyProtection="1">
      <alignment horizontal="centerContinuous" vertical="center" wrapText="1"/>
    </xf>
    <xf numFmtId="49" fontId="21" fillId="0" borderId="21" xfId="0" applyNumberFormat="1" applyFont="1" applyFill="1" applyBorder="1" applyAlignment="1" applyProtection="1">
      <alignment horizontal="center" vertical="center" wrapText="1"/>
    </xf>
    <xf numFmtId="49" fontId="21" fillId="0" borderId="21" xfId="0" applyNumberFormat="1" applyFont="1" applyFill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centerContinuous" vertical="center" wrapText="1"/>
    </xf>
    <xf numFmtId="0" fontId="21" fillId="0" borderId="21" xfId="0" applyFont="1" applyFill="1" applyBorder="1" applyAlignment="1" applyProtection="1">
      <alignment horizontal="centerContinuous" vertical="center"/>
    </xf>
    <xf numFmtId="0" fontId="21" fillId="0" borderId="21" xfId="0" applyFont="1" applyFill="1" applyBorder="1" applyAlignment="1" applyProtection="1">
      <alignment horizontal="centerContinuous"/>
    </xf>
    <xf numFmtId="0" fontId="21" fillId="0" borderId="21" xfId="0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centerContinuous" vertical="center" wrapText="1"/>
    </xf>
    <xf numFmtId="0" fontId="21" fillId="0" borderId="21" xfId="0" applyFont="1" applyBorder="1" applyAlignment="1" applyProtection="1">
      <alignment horizontal="centerContinuous" vertical="center"/>
    </xf>
    <xf numFmtId="0" fontId="21" fillId="0" borderId="21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 wrapText="1"/>
    </xf>
    <xf numFmtId="0" fontId="22" fillId="2" borderId="22" xfId="0" applyFont="1" applyFill="1" applyBorder="1" applyAlignment="1" applyProtection="1">
      <alignment horizontal="left" vertical="center" wrapText="1"/>
    </xf>
    <xf numFmtId="0" fontId="23" fillId="2" borderId="22" xfId="0" applyFont="1" applyFill="1" applyBorder="1" applyAlignment="1" applyProtection="1">
      <alignment horizontal="center" vertical="center" wrapText="1"/>
    </xf>
    <xf numFmtId="2" fontId="24" fillId="0" borderId="23" xfId="0" applyNumberFormat="1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left" vertical="center" wrapText="1" indent="1"/>
    </xf>
    <xf numFmtId="0" fontId="26" fillId="2" borderId="21" xfId="0" applyFont="1" applyFill="1" applyBorder="1" applyAlignment="1" applyProtection="1">
      <alignment horizontal="center" vertical="center" wrapText="1"/>
    </xf>
    <xf numFmtId="2" fontId="24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25" fillId="2" borderId="21" xfId="0" applyFont="1" applyFill="1" applyBorder="1" applyAlignment="1" applyProtection="1">
      <alignment horizontal="left" vertical="center" wrapText="1"/>
    </xf>
    <xf numFmtId="0" fontId="25" fillId="2" borderId="21" xfId="0" applyFont="1" applyFill="1" applyBorder="1" applyAlignment="1" applyProtection="1">
      <alignment horizontal="left" vertical="center" wrapText="1" indent="2"/>
    </xf>
    <xf numFmtId="0" fontId="25" fillId="0" borderId="21" xfId="0" applyFont="1" applyFill="1" applyBorder="1" applyAlignment="1" applyProtection="1">
      <alignment horizontal="left" vertical="center" wrapText="1" indent="1"/>
    </xf>
    <xf numFmtId="0" fontId="26" fillId="0" borderId="21" xfId="0" applyFont="1" applyFill="1" applyBorder="1" applyAlignment="1" applyProtection="1">
      <alignment horizontal="center" vertical="center" wrapText="1"/>
    </xf>
    <xf numFmtId="2" fontId="24" fillId="0" borderId="26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7" xfId="0" applyNumberFormat="1" applyFont="1" applyFill="1" applyBorder="1" applyAlignment="1" applyProtection="1">
      <alignment horizontal="center" vertical="top" wrapText="1"/>
      <protection locked="0"/>
    </xf>
    <xf numFmtId="0" fontId="22" fillId="2" borderId="21" xfId="0" applyFont="1" applyFill="1" applyBorder="1" applyAlignment="1" applyProtection="1">
      <alignment horizontal="left" vertical="center" wrapText="1"/>
    </xf>
    <xf numFmtId="0" fontId="27" fillId="2" borderId="21" xfId="0" applyFont="1" applyFill="1" applyBorder="1" applyAlignment="1" applyProtection="1">
      <alignment horizontal="left" vertical="center" wrapText="1" indent="1"/>
    </xf>
    <xf numFmtId="2" fontId="24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28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0" borderId="26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0" fontId="25" fillId="0" borderId="21" xfId="0" applyFont="1" applyFill="1" applyBorder="1" applyAlignment="1" applyProtection="1">
      <alignment horizontal="left" vertical="center" wrapText="1" indent="2"/>
    </xf>
    <xf numFmtId="0" fontId="27" fillId="2" borderId="21" xfId="0" applyFont="1" applyFill="1" applyBorder="1" applyAlignment="1" applyProtection="1">
      <alignment horizontal="left" vertical="center" wrapText="1" indent="2"/>
    </xf>
    <xf numFmtId="0" fontId="23" fillId="2" borderId="21" xfId="0" applyFont="1" applyFill="1" applyBorder="1" applyAlignment="1" applyProtection="1">
      <alignment horizontal="center" vertical="center" wrapText="1"/>
    </xf>
    <xf numFmtId="0" fontId="24" fillId="0" borderId="28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25" fillId="0" borderId="21" xfId="0" applyFont="1" applyFill="1" applyBorder="1" applyAlignment="1" applyProtection="1">
      <alignment horizontal="left" vertical="center" wrapText="1" indent="3"/>
    </xf>
    <xf numFmtId="0" fontId="27" fillId="0" borderId="21" xfId="0" applyFont="1" applyFill="1" applyBorder="1" applyAlignment="1" applyProtection="1">
      <alignment horizontal="left" vertical="center" wrapText="1" indent="1"/>
    </xf>
    <xf numFmtId="0" fontId="23" fillId="0" borderId="21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left" vertical="center" wrapText="1" indent="1"/>
    </xf>
    <xf numFmtId="0" fontId="24" fillId="0" borderId="0" xfId="0" applyFont="1" applyBorder="1" applyAlignment="1">
      <alignment horizontal="center" vertical="top" wrapText="1"/>
    </xf>
    <xf numFmtId="0" fontId="25" fillId="0" borderId="21" xfId="0" applyFont="1" applyFill="1" applyBorder="1" applyAlignment="1" applyProtection="1">
      <alignment horizontal="left" wrapText="1" indent="1"/>
    </xf>
    <xf numFmtId="2" fontId="2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24" fillId="0" borderId="0" xfId="0" applyFont="1"/>
    <xf numFmtId="0" fontId="24" fillId="0" borderId="0" xfId="0" applyFont="1" applyAlignment="1">
      <alignment horizontal="center" vertical="top" wrapText="1"/>
    </xf>
    <xf numFmtId="0" fontId="27" fillId="0" borderId="21" xfId="0" applyFont="1" applyFill="1" applyBorder="1" applyAlignment="1" applyProtection="1">
      <alignment horizontal="left" vertical="center" wrapText="1"/>
    </xf>
    <xf numFmtId="2" fontId="2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Fill="1" applyBorder="1" applyAlignment="1" applyProtection="1">
      <alignment horizontal="left" vertical="top" wrapText="1" indent="3"/>
    </xf>
    <xf numFmtId="0" fontId="25" fillId="0" borderId="21" xfId="0" applyFont="1" applyFill="1" applyBorder="1" applyAlignment="1" applyProtection="1">
      <alignment horizontal="left" vertical="top" wrapText="1" indent="1"/>
    </xf>
    <xf numFmtId="0" fontId="26" fillId="0" borderId="21" xfId="0" applyFont="1" applyFill="1" applyBorder="1" applyAlignment="1" applyProtection="1">
      <alignment horizontal="center" vertical="top" wrapText="1"/>
    </xf>
    <xf numFmtId="2" fontId="24" fillId="0" borderId="24" xfId="0" applyNumberFormat="1" applyFont="1" applyFill="1" applyBorder="1" applyAlignment="1" applyProtection="1">
      <alignment horizontal="center" vertical="top" wrapText="1"/>
      <protection locked="0"/>
    </xf>
    <xf numFmtId="0" fontId="25" fillId="0" borderId="21" xfId="0" applyFont="1" applyFill="1" applyBorder="1" applyAlignment="1" applyProtection="1">
      <alignment horizontal="left" vertical="center" wrapText="1" indent="4"/>
    </xf>
    <xf numFmtId="0" fontId="25" fillId="0" borderId="21" xfId="0" applyFont="1" applyFill="1" applyBorder="1" applyAlignment="1" applyProtection="1">
      <alignment horizontal="left" vertical="center" wrapText="1" indent="5"/>
    </xf>
    <xf numFmtId="0" fontId="25" fillId="0" borderId="2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28" xfId="0" applyBorder="1"/>
    <xf numFmtId="0" fontId="0" fillId="0" borderId="24" xfId="0" applyBorder="1"/>
    <xf numFmtId="0" fontId="24" fillId="0" borderId="24" xfId="0" applyFont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top" wrapText="1"/>
    </xf>
    <xf numFmtId="0" fontId="0" fillId="0" borderId="25" xfId="0" applyBorder="1"/>
    <xf numFmtId="2" fontId="24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31" xfId="0" applyNumberFormat="1" applyFont="1" applyFill="1" applyBorder="1" applyAlignment="1" applyProtection="1">
      <alignment horizontal="center" vertical="top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5" fillId="0" borderId="21" xfId="0" applyFont="1" applyFill="1" applyBorder="1" applyAlignment="1" applyProtection="1">
      <alignment horizontal="left" vertical="top" wrapText="1" indent="2"/>
    </xf>
    <xf numFmtId="49" fontId="25" fillId="0" borderId="21" xfId="0" applyNumberFormat="1" applyFont="1" applyFill="1" applyBorder="1" applyAlignment="1" applyProtection="1">
      <alignment horizontal="left" vertical="top" wrapText="1" indent="2"/>
    </xf>
    <xf numFmtId="0" fontId="21" fillId="0" borderId="21" xfId="0" applyFont="1" applyFill="1" applyBorder="1" applyAlignment="1" applyProtection="1">
      <alignment horizontal="left" vertical="top" wrapText="1" indent="1"/>
    </xf>
    <xf numFmtId="49" fontId="28" fillId="0" borderId="0" xfId="0" applyNumberFormat="1" applyFont="1" applyFill="1" applyAlignment="1" applyProtection="1">
      <alignment horizontal="centerContinuous" vertical="center"/>
    </xf>
    <xf numFmtId="0" fontId="30" fillId="0" borderId="0" xfId="0" applyFont="1" applyFill="1" applyAlignment="1" applyProtection="1">
      <alignment horizontal="centerContinuous" vertical="center"/>
    </xf>
    <xf numFmtId="0" fontId="30" fillId="0" borderId="0" xfId="0" applyFont="1" applyAlignment="1" applyProtection="1">
      <alignment horizontal="centerContinuous" vertical="center"/>
    </xf>
    <xf numFmtId="49" fontId="28" fillId="0" borderId="0" xfId="0" applyNumberFormat="1" applyFont="1" applyFill="1" applyAlignment="1" applyProtection="1">
      <alignment horizontal="centerContinuous" vertical="center" wrapText="1"/>
    </xf>
    <xf numFmtId="0" fontId="30" fillId="0" borderId="0" xfId="0" applyFont="1" applyFill="1" applyAlignment="1" applyProtection="1">
      <alignment horizontal="centerContinuous" vertical="center" wrapText="1"/>
    </xf>
    <xf numFmtId="0" fontId="30" fillId="0" borderId="0" xfId="0" applyFont="1" applyAlignment="1" applyProtection="1">
      <alignment horizontal="centerContinuous" vertical="center" wrapText="1"/>
    </xf>
    <xf numFmtId="0" fontId="29" fillId="0" borderId="0" xfId="0" applyFont="1" applyFill="1" applyProtection="1"/>
    <xf numFmtId="0" fontId="29" fillId="0" borderId="0" xfId="0" applyFont="1" applyFill="1" applyProtection="1"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49" fontId="29" fillId="0" borderId="0" xfId="0" applyNumberFormat="1" applyFont="1" applyFill="1" applyAlignment="1" applyProtection="1">
      <alignment horizontal="center"/>
    </xf>
    <xf numFmtId="49" fontId="29" fillId="0" borderId="0" xfId="0" applyNumberFormat="1" applyFont="1" applyFill="1" applyAlignment="1" applyProtection="1">
      <alignment horizontal="right"/>
    </xf>
    <xf numFmtId="49" fontId="29" fillId="0" borderId="0" xfId="0" applyNumberFormat="1" applyFont="1" applyFill="1" applyAlignment="1" applyProtection="1">
      <alignment horizontal="center" vertical="center"/>
    </xf>
    <xf numFmtId="49" fontId="29" fillId="0" borderId="0" xfId="0" applyNumberFormat="1" applyFont="1" applyFill="1" applyAlignment="1" applyProtection="1">
      <alignment horizontal="left"/>
    </xf>
    <xf numFmtId="0" fontId="30" fillId="0" borderId="0" xfId="0" applyFont="1" applyProtection="1"/>
    <xf numFmtId="0" fontId="30" fillId="0" borderId="0" xfId="0" applyFont="1" applyAlignment="1" applyProtection="1"/>
    <xf numFmtId="0" fontId="28" fillId="0" borderId="0" xfId="0" applyFont="1" applyFill="1" applyProtection="1"/>
    <xf numFmtId="0" fontId="28" fillId="0" borderId="0" xfId="0" applyFont="1" applyFill="1" applyProtection="1">
      <protection locked="0"/>
    </xf>
    <xf numFmtId="0" fontId="25" fillId="0" borderId="0" xfId="0" applyFont="1" applyFill="1" applyProtection="1"/>
    <xf numFmtId="0" fontId="29" fillId="0" borderId="0" xfId="0" applyFont="1" applyFill="1" applyBorder="1" applyProtection="1"/>
    <xf numFmtId="2" fontId="29" fillId="0" borderId="0" xfId="0" applyNumberFormat="1" applyFont="1" applyFill="1" applyProtection="1"/>
    <xf numFmtId="0" fontId="31" fillId="0" borderId="0" xfId="0" applyFont="1" applyFill="1" applyBorder="1" applyAlignment="1" applyProtection="1">
      <alignment horizontal="centerContinuous" vertical="top" wrapText="1"/>
    </xf>
    <xf numFmtId="0" fontId="25" fillId="0" borderId="0" xfId="0" applyFont="1" applyFill="1" applyAlignment="1" applyProtection="1">
      <alignment horizontal="centerContinuous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25" fillId="2" borderId="21" xfId="0" applyFont="1" applyFill="1" applyBorder="1" applyAlignment="1" applyProtection="1">
      <alignment horizontal="left" vertical="center" wrapText="1" indent="3"/>
    </xf>
    <xf numFmtId="0" fontId="21" fillId="2" borderId="21" xfId="0" applyFont="1" applyFill="1" applyBorder="1" applyAlignment="1" applyProtection="1">
      <alignment horizontal="left" vertical="center" wrapText="1" indent="1"/>
    </xf>
    <xf numFmtId="0" fontId="27" fillId="2" borderId="21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32" fillId="2" borderId="21" xfId="0" applyFont="1" applyFill="1" applyBorder="1" applyAlignment="1" applyProtection="1">
      <alignment horizontal="left" vertical="center" wrapText="1" indent="2"/>
    </xf>
    <xf numFmtId="0" fontId="32" fillId="2" borderId="21" xfId="0" applyFont="1" applyFill="1" applyBorder="1" applyAlignment="1" applyProtection="1">
      <alignment horizontal="left" vertical="center" wrapText="1" indent="1"/>
    </xf>
    <xf numFmtId="0" fontId="33" fillId="2" borderId="21" xfId="0" applyFont="1" applyFill="1" applyBorder="1" applyAlignment="1" applyProtection="1">
      <alignment horizontal="left" vertical="center" wrapText="1" indent="1"/>
    </xf>
    <xf numFmtId="0" fontId="36" fillId="0" borderId="0" xfId="0" applyFont="1" applyFill="1" applyAlignment="1" applyProtection="1">
      <alignment horizontal="centerContinuous" vertical="center"/>
    </xf>
    <xf numFmtId="0" fontId="36" fillId="0" borderId="0" xfId="0" applyFont="1" applyFill="1" applyProtection="1"/>
    <xf numFmtId="0" fontId="36" fillId="0" borderId="21" xfId="0" applyFont="1" applyFill="1" applyBorder="1" applyAlignment="1">
      <alignment horizontal="center" wrapText="1"/>
    </xf>
    <xf numFmtId="2" fontId="36" fillId="0" borderId="21" xfId="0" applyNumberFormat="1" applyFont="1" applyFill="1" applyBorder="1" applyAlignment="1" applyProtection="1">
      <alignment horizontal="center"/>
      <protection locked="0"/>
    </xf>
    <xf numFmtId="0" fontId="36" fillId="0" borderId="21" xfId="0" applyFont="1" applyFill="1" applyBorder="1" applyAlignment="1">
      <alignment horizontal="center"/>
    </xf>
    <xf numFmtId="165" fontId="36" fillId="0" borderId="21" xfId="0" applyNumberFormat="1" applyFont="1" applyFill="1" applyBorder="1" applyAlignment="1" applyProtection="1">
      <alignment horizontal="center"/>
    </xf>
    <xf numFmtId="1" fontId="36" fillId="0" borderId="21" xfId="0" applyNumberFormat="1" applyFont="1" applyFill="1" applyBorder="1" applyAlignment="1" applyProtection="1">
      <alignment horizontal="center"/>
      <protection locked="0"/>
    </xf>
    <xf numFmtId="2" fontId="36" fillId="0" borderId="21" xfId="0" applyNumberFormat="1" applyFont="1" applyFill="1" applyBorder="1" applyAlignment="1">
      <alignment horizontal="center"/>
    </xf>
    <xf numFmtId="0" fontId="36" fillId="0" borderId="21" xfId="0" applyFont="1" applyFill="1" applyBorder="1"/>
    <xf numFmtId="0" fontId="36" fillId="0" borderId="21" xfId="0" applyFont="1" applyFill="1" applyBorder="1" applyProtection="1"/>
    <xf numFmtId="2" fontId="36" fillId="0" borderId="21" xfId="0" applyNumberFormat="1" applyFont="1" applyFill="1" applyBorder="1"/>
    <xf numFmtId="164" fontId="36" fillId="0" borderId="0" xfId="0" applyNumberFormat="1" applyFont="1" applyFill="1" applyProtection="1"/>
    <xf numFmtId="2" fontId="37" fillId="0" borderId="16" xfId="0" applyNumberFormat="1" applyFont="1" applyFill="1" applyBorder="1" applyAlignment="1" applyProtection="1">
      <alignment horizontal="center"/>
      <protection locked="0"/>
    </xf>
    <xf numFmtId="1" fontId="37" fillId="0" borderId="32" xfId="0" applyNumberFormat="1" applyFont="1" applyFill="1" applyBorder="1" applyAlignment="1" applyProtection="1">
      <alignment horizontal="center"/>
      <protection locked="0"/>
    </xf>
    <xf numFmtId="2" fontId="37" fillId="0" borderId="32" xfId="0" applyNumberFormat="1" applyFont="1" applyFill="1" applyBorder="1" applyAlignment="1" applyProtection="1">
      <alignment horizontal="center"/>
      <protection locked="0"/>
    </xf>
    <xf numFmtId="0" fontId="36" fillId="0" borderId="21" xfId="0" applyFont="1" applyFill="1" applyBorder="1" applyAlignment="1">
      <alignment horizontal="right" wrapText="1"/>
    </xf>
    <xf numFmtId="0" fontId="41" fillId="0" borderId="0" xfId="0" applyFont="1" applyFill="1" applyAlignment="1">
      <alignment horizontal="right" wrapText="1" indent="1"/>
    </xf>
    <xf numFmtId="0" fontId="34" fillId="0" borderId="0" xfId="0" applyFont="1" applyFill="1"/>
    <xf numFmtId="0" fontId="34" fillId="0" borderId="21" xfId="0" applyFont="1" applyFill="1" applyBorder="1"/>
    <xf numFmtId="3" fontId="42" fillId="0" borderId="21" xfId="0" applyNumberFormat="1" applyFont="1" applyFill="1" applyBorder="1"/>
    <xf numFmtId="2" fontId="36" fillId="0" borderId="21" xfId="0" applyNumberFormat="1" applyFont="1" applyFill="1" applyBorder="1" applyAlignment="1" applyProtection="1">
      <alignment horizontal="right"/>
      <protection locked="0"/>
    </xf>
    <xf numFmtId="1" fontId="36" fillId="0" borderId="21" xfId="0" applyNumberFormat="1" applyFont="1" applyFill="1" applyBorder="1" applyAlignment="1" applyProtection="1">
      <alignment horizontal="right"/>
      <protection locked="0"/>
    </xf>
    <xf numFmtId="0" fontId="36" fillId="0" borderId="21" xfId="0" applyFont="1" applyFill="1" applyBorder="1" applyAlignment="1">
      <alignment horizontal="center" vertical="top"/>
    </xf>
    <xf numFmtId="165" fontId="36" fillId="0" borderId="21" xfId="0" applyNumberFormat="1" applyFont="1" applyFill="1" applyBorder="1" applyAlignment="1" applyProtection="1">
      <alignment horizontal="right"/>
      <protection locked="0"/>
    </xf>
    <xf numFmtId="2" fontId="36" fillId="0" borderId="33" xfId="0" applyNumberFormat="1" applyFont="1" applyFill="1" applyBorder="1" applyAlignment="1" applyProtection="1">
      <alignment horizontal="right"/>
      <protection locked="0"/>
    </xf>
    <xf numFmtId="164" fontId="36" fillId="0" borderId="21" xfId="0" applyNumberFormat="1" applyFont="1" applyFill="1" applyBorder="1" applyAlignment="1" applyProtection="1">
      <alignment horizontal="center"/>
      <protection locked="0"/>
    </xf>
    <xf numFmtId="2" fontId="42" fillId="0" borderId="21" xfId="0" applyNumberFormat="1" applyFont="1" applyFill="1" applyBorder="1" applyAlignment="1" applyProtection="1">
      <alignment horizontal="right"/>
      <protection locked="0"/>
    </xf>
    <xf numFmtId="165" fontId="42" fillId="0" borderId="21" xfId="0" applyNumberFormat="1" applyFont="1" applyFill="1" applyBorder="1" applyAlignment="1" applyProtection="1">
      <alignment horizontal="right"/>
      <protection locked="0"/>
    </xf>
    <xf numFmtId="165" fontId="36" fillId="0" borderId="21" xfId="0" applyNumberFormat="1" applyFont="1" applyFill="1" applyBorder="1" applyAlignment="1" applyProtection="1">
      <alignment horizontal="center"/>
      <protection locked="0"/>
    </xf>
    <xf numFmtId="2" fontId="36" fillId="0" borderId="0" xfId="0" applyNumberFormat="1" applyFont="1" applyFill="1" applyBorder="1" applyAlignment="1" applyProtection="1">
      <alignment horizontal="right"/>
    </xf>
    <xf numFmtId="164" fontId="36" fillId="0" borderId="0" xfId="0" applyNumberFormat="1" applyFont="1" applyFill="1" applyBorder="1" applyAlignment="1" applyProtection="1">
      <alignment horizontal="right"/>
    </xf>
    <xf numFmtId="0" fontId="36" fillId="0" borderId="21" xfId="0" applyFont="1" applyFill="1" applyBorder="1" applyAlignment="1" applyProtection="1">
      <alignment horizontal="center"/>
    </xf>
    <xf numFmtId="0" fontId="42" fillId="0" borderId="21" xfId="0" applyFont="1" applyFill="1" applyBorder="1"/>
    <xf numFmtId="2" fontId="36" fillId="0" borderId="21" xfId="0" applyNumberFormat="1" applyFont="1" applyFill="1" applyBorder="1" applyAlignment="1" applyProtection="1">
      <alignment horizontal="center"/>
    </xf>
    <xf numFmtId="2" fontId="36" fillId="0" borderId="21" xfId="0" applyNumberFormat="1" applyFont="1" applyFill="1" applyBorder="1" applyAlignment="1">
      <alignment horizontal="center" wrapText="1"/>
    </xf>
    <xf numFmtId="2" fontId="34" fillId="0" borderId="21" xfId="0" applyNumberFormat="1" applyFont="1" applyFill="1" applyBorder="1"/>
    <xf numFmtId="164" fontId="36" fillId="0" borderId="21" xfId="0" applyNumberFormat="1" applyFont="1" applyFill="1" applyBorder="1" applyAlignment="1">
      <alignment horizontal="center"/>
    </xf>
    <xf numFmtId="2" fontId="40" fillId="0" borderId="21" xfId="0" applyNumberFormat="1" applyFont="1" applyFill="1" applyBorder="1" applyAlignment="1" applyProtection="1">
      <alignment horizontal="center"/>
      <protection locked="0"/>
    </xf>
    <xf numFmtId="2" fontId="41" fillId="0" borderId="21" xfId="0" applyNumberFormat="1" applyFont="1" applyFill="1" applyBorder="1" applyAlignment="1" applyProtection="1">
      <alignment horizontal="center"/>
      <protection locked="0"/>
    </xf>
    <xf numFmtId="2" fontId="41" fillId="0" borderId="21" xfId="0" applyNumberFormat="1" applyFont="1" applyFill="1" applyBorder="1" applyAlignment="1" applyProtection="1">
      <alignment horizontal="right"/>
      <protection locked="0"/>
    </xf>
    <xf numFmtId="0" fontId="41" fillId="0" borderId="21" xfId="0" applyFont="1" applyFill="1" applyBorder="1" applyAlignment="1">
      <alignment horizontal="center" wrapText="1"/>
    </xf>
    <xf numFmtId="2" fontId="41" fillId="0" borderId="34" xfId="0" applyNumberFormat="1" applyFont="1" applyFill="1" applyBorder="1" applyAlignment="1" applyProtection="1">
      <alignment horizontal="center"/>
      <protection locked="0"/>
    </xf>
    <xf numFmtId="2" fontId="41" fillId="0" borderId="35" xfId="0" applyNumberFormat="1" applyFont="1" applyFill="1" applyBorder="1" applyAlignment="1" applyProtection="1">
      <alignment horizontal="center"/>
      <protection locked="0"/>
    </xf>
    <xf numFmtId="2" fontId="36" fillId="0" borderId="34" xfId="0" applyNumberFormat="1" applyFont="1" applyFill="1" applyBorder="1" applyAlignment="1" applyProtection="1">
      <alignment horizontal="center"/>
      <protection locked="0"/>
    </xf>
    <xf numFmtId="0" fontId="41" fillId="0" borderId="21" xfId="0" applyFont="1" applyFill="1" applyBorder="1" applyAlignment="1" applyProtection="1">
      <alignment horizontal="centerContinuous" vertical="center"/>
    </xf>
    <xf numFmtId="0" fontId="41" fillId="0" borderId="21" xfId="0" applyFont="1" applyFill="1" applyBorder="1" applyAlignment="1" applyProtection="1">
      <alignment horizontal="centerContinuous"/>
    </xf>
    <xf numFmtId="0" fontId="41" fillId="0" borderId="21" xfId="0" applyFont="1" applyFill="1" applyBorder="1" applyAlignment="1" applyProtection="1">
      <alignment horizontal="right"/>
    </xf>
    <xf numFmtId="49" fontId="41" fillId="0" borderId="21" xfId="0" applyNumberFormat="1" applyFont="1" applyFill="1" applyBorder="1" applyAlignment="1" applyProtection="1">
      <alignment horizontal="left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wrapText="1"/>
    </xf>
    <xf numFmtId="0" fontId="42" fillId="0" borderId="21" xfId="0" applyFont="1" applyFill="1" applyBorder="1" applyAlignment="1">
      <alignment horizontal="center"/>
    </xf>
    <xf numFmtId="2" fontId="42" fillId="0" borderId="21" xfId="0" applyNumberFormat="1" applyFont="1" applyFill="1" applyBorder="1" applyAlignment="1" applyProtection="1">
      <alignment horizontal="center"/>
      <protection locked="0"/>
    </xf>
    <xf numFmtId="2" fontId="36" fillId="0" borderId="33" xfId="0" applyNumberFormat="1" applyFont="1" applyFill="1" applyBorder="1" applyAlignment="1" applyProtection="1">
      <alignment horizontal="center"/>
      <protection locked="0"/>
    </xf>
    <xf numFmtId="165" fontId="42" fillId="0" borderId="21" xfId="0" applyNumberFormat="1" applyFont="1" applyFill="1" applyBorder="1" applyAlignment="1" applyProtection="1">
      <alignment horizontal="center"/>
      <protection locked="0"/>
    </xf>
    <xf numFmtId="164" fontId="36" fillId="0" borderId="0" xfId="0" applyNumberFormat="1" applyFont="1" applyFill="1" applyBorder="1" applyAlignment="1" applyProtection="1">
      <alignment horizontal="center"/>
    </xf>
    <xf numFmtId="164" fontId="36" fillId="0" borderId="0" xfId="0" applyNumberFormat="1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  <xf numFmtId="3" fontId="42" fillId="0" borderId="21" xfId="0" applyNumberFormat="1" applyFont="1" applyFill="1" applyBorder="1" applyAlignment="1">
      <alignment horizontal="center"/>
    </xf>
    <xf numFmtId="0" fontId="36" fillId="0" borderId="36" xfId="0" applyFont="1" applyFill="1" applyBorder="1" applyAlignment="1" applyProtection="1">
      <alignment vertical="center" wrapText="1"/>
    </xf>
    <xf numFmtId="0" fontId="34" fillId="0" borderId="0" xfId="0" applyFont="1" applyFill="1" applyAlignment="1">
      <alignment horizontal="center"/>
    </xf>
    <xf numFmtId="49" fontId="44" fillId="0" borderId="0" xfId="0" applyNumberFormat="1" applyFont="1" applyFill="1" applyAlignment="1" applyProtection="1">
      <alignment horizontal="right" vertical="center"/>
    </xf>
    <xf numFmtId="0" fontId="34" fillId="0" borderId="0" xfId="0" applyFont="1" applyFill="1" applyAlignment="1" applyProtection="1">
      <alignment horizontal="centerContinuous" vertical="center"/>
    </xf>
    <xf numFmtId="49" fontId="34" fillId="0" borderId="0" xfId="0" applyNumberFormat="1" applyFont="1" applyFill="1" applyAlignment="1" applyProtection="1">
      <alignment horizontal="centerContinuous" vertical="center"/>
    </xf>
    <xf numFmtId="0" fontId="44" fillId="0" borderId="0" xfId="0" applyFont="1" applyFill="1" applyBorder="1" applyProtection="1"/>
    <xf numFmtId="0" fontId="44" fillId="0" borderId="0" xfId="0" applyFont="1" applyFill="1" applyProtection="1"/>
    <xf numFmtId="1" fontId="45" fillId="0" borderId="0" xfId="0" applyNumberFormat="1" applyFont="1" applyFill="1" applyBorder="1" applyProtection="1"/>
    <xf numFmtId="0" fontId="45" fillId="0" borderId="0" xfId="0" applyFont="1" applyFill="1" applyProtection="1"/>
    <xf numFmtId="0" fontId="45" fillId="0" borderId="0" xfId="0" applyFont="1" applyFill="1" applyBorder="1" applyProtection="1"/>
    <xf numFmtId="49" fontId="46" fillId="0" borderId="21" xfId="0" applyNumberFormat="1" applyFont="1" applyFill="1" applyBorder="1" applyAlignment="1" applyProtection="1">
      <alignment horizontal="centerContinuous" vertical="center"/>
    </xf>
    <xf numFmtId="49" fontId="46" fillId="0" borderId="21" xfId="0" applyNumberFormat="1" applyFont="1" applyFill="1" applyBorder="1" applyAlignment="1" applyProtection="1">
      <alignment horizontal="centerContinuous" vertical="center" wrapText="1"/>
    </xf>
    <xf numFmtId="49" fontId="46" fillId="0" borderId="21" xfId="0" applyNumberFormat="1" applyFont="1" applyFill="1" applyBorder="1" applyAlignment="1" applyProtection="1">
      <alignment horizontal="center" vertical="center" wrapText="1"/>
    </xf>
    <xf numFmtId="49" fontId="46" fillId="0" borderId="21" xfId="0" applyNumberFormat="1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centerContinuous" vertical="center" wrapText="1"/>
    </xf>
    <xf numFmtId="0" fontId="45" fillId="0" borderId="3" xfId="0" applyFont="1" applyFill="1" applyBorder="1" applyProtection="1"/>
    <xf numFmtId="0" fontId="46" fillId="0" borderId="21" xfId="0" applyFont="1" applyFill="1" applyBorder="1" applyAlignment="1" applyProtection="1">
      <alignment horizontal="centerContinuous" vertical="center"/>
    </xf>
    <xf numFmtId="0" fontId="46" fillId="0" borderId="21" xfId="0" applyFont="1" applyFill="1" applyBorder="1" applyAlignment="1" applyProtection="1">
      <alignment horizontal="centerContinuous"/>
    </xf>
    <xf numFmtId="0" fontId="46" fillId="0" borderId="21" xfId="0" applyFont="1" applyFill="1" applyBorder="1" applyAlignment="1" applyProtection="1">
      <alignment horizontal="right"/>
    </xf>
    <xf numFmtId="0" fontId="45" fillId="0" borderId="16" xfId="0" applyFont="1" applyFill="1" applyBorder="1" applyProtection="1"/>
    <xf numFmtId="0" fontId="47" fillId="0" borderId="21" xfId="0" applyFont="1" applyFill="1" applyBorder="1" applyAlignment="1" applyProtection="1">
      <alignment horizontal="center" vertical="center" wrapText="1"/>
    </xf>
    <xf numFmtId="2" fontId="45" fillId="0" borderId="21" xfId="0" applyNumberFormat="1" applyFont="1" applyFill="1" applyBorder="1" applyAlignment="1" applyProtection="1">
      <alignment horizontal="right" vertical="center"/>
    </xf>
    <xf numFmtId="2" fontId="41" fillId="0" borderId="21" xfId="0" applyNumberFormat="1" applyFont="1" applyFill="1" applyBorder="1" applyAlignment="1" applyProtection="1">
      <alignment horizontal="center" vertical="top" wrapText="1"/>
      <protection locked="0"/>
    </xf>
    <xf numFmtId="49" fontId="41" fillId="0" borderId="21" xfId="0" applyNumberFormat="1" applyFont="1" applyFill="1" applyBorder="1" applyAlignment="1" applyProtection="1">
      <alignment horizontal="center" vertical="top" wrapText="1"/>
      <protection locked="0"/>
    </xf>
    <xf numFmtId="2" fontId="34" fillId="0" borderId="21" xfId="0" applyNumberFormat="1" applyFont="1" applyFill="1" applyBorder="1" applyAlignment="1">
      <alignment horizontal="right"/>
    </xf>
    <xf numFmtId="0" fontId="34" fillId="0" borderId="0" xfId="0" applyFont="1" applyFill="1" applyProtection="1"/>
    <xf numFmtId="0" fontId="41" fillId="0" borderId="21" xfId="0" applyFont="1" applyFill="1" applyBorder="1" applyAlignment="1">
      <alignment horizontal="center" vertical="top" wrapText="1"/>
    </xf>
    <xf numFmtId="49" fontId="41" fillId="0" borderId="21" xfId="0" applyNumberFormat="1" applyFont="1" applyFill="1" applyBorder="1" applyAlignment="1">
      <alignment horizontal="center" vertical="top" wrapText="1"/>
    </xf>
    <xf numFmtId="0" fontId="47" fillId="0" borderId="33" xfId="0" applyFont="1" applyFill="1" applyBorder="1" applyAlignment="1" applyProtection="1">
      <alignment horizontal="center" vertical="center" wrapText="1"/>
    </xf>
    <xf numFmtId="2" fontId="45" fillId="0" borderId="33" xfId="0" applyNumberFormat="1" applyFont="1" applyFill="1" applyBorder="1" applyAlignment="1" applyProtection="1">
      <alignment horizontal="right" vertical="center"/>
    </xf>
    <xf numFmtId="0" fontId="41" fillId="0" borderId="33" xfId="0" applyFont="1" applyFill="1" applyBorder="1" applyAlignment="1">
      <alignment horizontal="center" vertical="top" wrapText="1"/>
    </xf>
    <xf numFmtId="49" fontId="41" fillId="0" borderId="33" xfId="0" applyNumberFormat="1" applyFont="1" applyFill="1" applyBorder="1" applyAlignment="1">
      <alignment horizontal="center" vertical="top" wrapText="1"/>
    </xf>
    <xf numFmtId="2" fontId="34" fillId="0" borderId="33" xfId="0" applyNumberFormat="1" applyFont="1" applyFill="1" applyBorder="1" applyAlignment="1">
      <alignment horizontal="right"/>
    </xf>
    <xf numFmtId="2" fontId="41" fillId="0" borderId="21" xfId="0" applyNumberFormat="1" applyFont="1" applyFill="1" applyBorder="1" applyAlignment="1" applyProtection="1">
      <alignment horizontal="right" vertical="center"/>
    </xf>
    <xf numFmtId="2" fontId="41" fillId="0" borderId="21" xfId="0" applyNumberFormat="1" applyFont="1" applyFill="1" applyBorder="1" applyAlignment="1">
      <alignment horizontal="right"/>
    </xf>
    <xf numFmtId="2" fontId="41" fillId="0" borderId="34" xfId="0" applyNumberFormat="1" applyFont="1" applyFill="1" applyBorder="1" applyAlignment="1" applyProtection="1">
      <alignment horizontal="right" vertical="center"/>
    </xf>
    <xf numFmtId="0" fontId="41" fillId="0" borderId="34" xfId="0" applyFont="1" applyFill="1" applyBorder="1" applyAlignment="1">
      <alignment horizontal="center" vertical="top" wrapText="1"/>
    </xf>
    <xf numFmtId="49" fontId="41" fillId="0" borderId="34" xfId="0" applyNumberFormat="1" applyFont="1" applyFill="1" applyBorder="1" applyAlignment="1">
      <alignment horizontal="center" vertical="top" wrapText="1"/>
    </xf>
    <xf numFmtId="2" fontId="41" fillId="0" borderId="34" xfId="0" applyNumberFormat="1" applyFont="1" applyFill="1" applyBorder="1" applyAlignment="1">
      <alignment horizontal="right"/>
    </xf>
    <xf numFmtId="2" fontId="41" fillId="0" borderId="35" xfId="0" applyNumberFormat="1" applyFont="1" applyFill="1" applyBorder="1" applyAlignment="1" applyProtection="1">
      <alignment horizontal="right" vertical="center"/>
    </xf>
    <xf numFmtId="0" fontId="41" fillId="0" borderId="35" xfId="0" applyFont="1" applyFill="1" applyBorder="1" applyAlignment="1">
      <alignment horizontal="center" vertical="top" wrapText="1"/>
    </xf>
    <xf numFmtId="49" fontId="41" fillId="0" borderId="35" xfId="0" applyNumberFormat="1" applyFont="1" applyFill="1" applyBorder="1" applyAlignment="1">
      <alignment horizontal="center" vertical="top" wrapText="1"/>
    </xf>
    <xf numFmtId="2" fontId="41" fillId="0" borderId="35" xfId="0" applyNumberFormat="1" applyFont="1" applyFill="1" applyBorder="1" applyAlignment="1">
      <alignment horizontal="right"/>
    </xf>
    <xf numFmtId="0" fontId="45" fillId="0" borderId="16" xfId="0" applyFont="1" applyFill="1" applyBorder="1" applyAlignment="1" applyProtection="1"/>
    <xf numFmtId="0" fontId="45" fillId="0" borderId="16" xfId="0" applyFont="1" applyFill="1" applyBorder="1" applyAlignment="1" applyProtection="1">
      <alignment wrapText="1"/>
    </xf>
    <xf numFmtId="0" fontId="41" fillId="0" borderId="21" xfId="0" applyFont="1" applyFill="1" applyBorder="1" applyAlignment="1" applyProtection="1">
      <alignment vertical="center" wrapText="1"/>
    </xf>
    <xf numFmtId="0" fontId="34" fillId="0" borderId="21" xfId="0" applyFont="1" applyFill="1" applyBorder="1" applyAlignment="1">
      <alignment horizontal="right" wrapText="1"/>
    </xf>
    <xf numFmtId="2" fontId="4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45" fillId="0" borderId="37" xfId="0" applyNumberFormat="1" applyFont="1" applyFill="1" applyBorder="1" applyAlignment="1" applyProtection="1">
      <alignment horizontal="right" vertical="center"/>
    </xf>
    <xf numFmtId="1" fontId="45" fillId="0" borderId="16" xfId="0" applyNumberFormat="1" applyFont="1" applyFill="1" applyBorder="1" applyProtection="1"/>
    <xf numFmtId="0" fontId="47" fillId="0" borderId="22" xfId="0" applyFont="1" applyFill="1" applyBorder="1" applyAlignment="1" applyProtection="1">
      <alignment horizontal="center" vertical="center" wrapText="1"/>
    </xf>
    <xf numFmtId="0" fontId="47" fillId="0" borderId="21" xfId="0" applyFont="1" applyFill="1" applyBorder="1" applyAlignment="1" applyProtection="1">
      <alignment horizontal="center" vertical="top" wrapText="1"/>
    </xf>
    <xf numFmtId="2" fontId="45" fillId="0" borderId="16" xfId="0" applyNumberFormat="1" applyFont="1" applyFill="1" applyBorder="1" applyAlignment="1" applyProtection="1">
      <alignment horizontal="right" vertical="center"/>
    </xf>
    <xf numFmtId="164" fontId="45" fillId="0" borderId="16" xfId="0" applyNumberFormat="1" applyFont="1" applyFill="1" applyBorder="1" applyProtection="1"/>
    <xf numFmtId="2" fontId="45" fillId="0" borderId="16" xfId="0" applyNumberFormat="1" applyFont="1" applyFill="1" applyBorder="1" applyProtection="1"/>
    <xf numFmtId="0" fontId="41" fillId="0" borderId="21" xfId="0" applyFont="1" applyFill="1" applyBorder="1" applyAlignment="1">
      <alignment vertical="top" wrapText="1"/>
    </xf>
    <xf numFmtId="2" fontId="41" fillId="0" borderId="21" xfId="0" applyNumberFormat="1" applyFont="1" applyFill="1" applyBorder="1" applyAlignment="1">
      <alignment vertical="top" wrapText="1"/>
    </xf>
    <xf numFmtId="2" fontId="44" fillId="0" borderId="21" xfId="0" applyNumberFormat="1" applyFont="1" applyFill="1" applyBorder="1" applyAlignment="1" applyProtection="1">
      <alignment horizontal="right" vertical="center"/>
    </xf>
    <xf numFmtId="0" fontId="46" fillId="0" borderId="21" xfId="0" applyFont="1" applyFill="1" applyBorder="1" applyAlignment="1">
      <alignment horizontal="center" vertical="top" wrapText="1"/>
    </xf>
    <xf numFmtId="49" fontId="46" fillId="0" borderId="21" xfId="0" applyNumberFormat="1" applyFont="1" applyFill="1" applyBorder="1" applyAlignment="1">
      <alignment horizontal="center" vertical="top" wrapText="1"/>
    </xf>
    <xf numFmtId="2" fontId="48" fillId="0" borderId="21" xfId="0" applyNumberFormat="1" applyFont="1" applyFill="1" applyBorder="1" applyAlignment="1">
      <alignment horizontal="right"/>
    </xf>
    <xf numFmtId="0" fontId="47" fillId="0" borderId="21" xfId="0" applyFont="1" applyFill="1" applyBorder="1" applyAlignment="1">
      <alignment horizontal="center" vertical="top" wrapText="1"/>
    </xf>
    <xf numFmtId="0" fontId="41" fillId="0" borderId="32" xfId="0" applyFont="1" applyFill="1" applyBorder="1" applyAlignment="1" applyProtection="1">
      <alignment vertical="center" wrapText="1"/>
    </xf>
    <xf numFmtId="0" fontId="42" fillId="0" borderId="16" xfId="0" applyFont="1" applyFill="1" applyBorder="1" applyAlignment="1" applyProtection="1">
      <alignment vertical="top" wrapText="1"/>
    </xf>
    <xf numFmtId="2" fontId="45" fillId="0" borderId="16" xfId="0" applyNumberFormat="1" applyFont="1" applyFill="1" applyBorder="1" applyAlignment="1" applyProtection="1">
      <alignment horizontal="right" vertical="center" wrapText="1"/>
    </xf>
    <xf numFmtId="49" fontId="45" fillId="0" borderId="37" xfId="0" applyNumberFormat="1" applyFont="1" applyFill="1" applyBorder="1" applyAlignment="1" applyProtection="1">
      <alignment horizontal="center" vertical="center"/>
    </xf>
    <xf numFmtId="49" fontId="45" fillId="0" borderId="21" xfId="0" applyNumberFormat="1" applyFont="1" applyFill="1" applyBorder="1" applyAlignment="1" applyProtection="1">
      <alignment horizontal="center"/>
    </xf>
    <xf numFmtId="49" fontId="45" fillId="0" borderId="21" xfId="0" applyNumberFormat="1" applyFont="1" applyFill="1" applyBorder="1" applyAlignment="1" applyProtection="1">
      <alignment horizontal="right"/>
    </xf>
    <xf numFmtId="49" fontId="45" fillId="0" borderId="21" xfId="0" applyNumberFormat="1" applyFont="1" applyFill="1" applyBorder="1" applyAlignment="1" applyProtection="1">
      <alignment horizontal="center" vertical="center"/>
    </xf>
    <xf numFmtId="49" fontId="45" fillId="0" borderId="21" xfId="0" applyNumberFormat="1" applyFont="1" applyFill="1" applyBorder="1" applyAlignment="1" applyProtection="1">
      <alignment horizontal="left"/>
    </xf>
    <xf numFmtId="2" fontId="45" fillId="0" borderId="21" xfId="0" applyNumberFormat="1" applyFont="1" applyFill="1" applyBorder="1" applyAlignment="1" applyProtection="1">
      <alignment horizontal="right"/>
    </xf>
    <xf numFmtId="0" fontId="44" fillId="0" borderId="37" xfId="0" applyFont="1" applyFill="1" applyBorder="1" applyProtection="1"/>
    <xf numFmtId="0" fontId="44" fillId="0" borderId="21" xfId="0" applyFont="1" applyFill="1" applyBorder="1" applyProtection="1"/>
    <xf numFmtId="2" fontId="44" fillId="0" borderId="21" xfId="0" applyNumberFormat="1" applyFont="1" applyFill="1" applyBorder="1" applyAlignment="1" applyProtection="1">
      <alignment horizontal="right"/>
    </xf>
    <xf numFmtId="49" fontId="45" fillId="0" borderId="0" xfId="0" applyNumberFormat="1" applyFont="1" applyFill="1" applyAlignment="1" applyProtection="1">
      <alignment horizontal="center" vertical="center"/>
    </xf>
    <xf numFmtId="49" fontId="45" fillId="0" borderId="0" xfId="0" applyNumberFormat="1" applyFont="1" applyFill="1" applyAlignment="1" applyProtection="1">
      <alignment horizontal="center"/>
    </xf>
    <xf numFmtId="49" fontId="45" fillId="0" borderId="0" xfId="0" applyNumberFormat="1" applyFont="1" applyFill="1" applyAlignment="1" applyProtection="1">
      <alignment horizontal="right"/>
    </xf>
    <xf numFmtId="49" fontId="45" fillId="0" borderId="0" xfId="0" applyNumberFormat="1" applyFont="1" applyFill="1" applyAlignment="1" applyProtection="1">
      <alignment horizontal="left"/>
    </xf>
    <xf numFmtId="2" fontId="45" fillId="0" borderId="0" xfId="0" applyNumberFormat="1" applyFont="1" applyFill="1" applyBorder="1" applyAlignment="1" applyProtection="1">
      <alignment horizontal="right"/>
    </xf>
    <xf numFmtId="49" fontId="45" fillId="0" borderId="0" xfId="0" applyNumberFormat="1" applyFont="1" applyFill="1" applyBorder="1" applyAlignment="1" applyProtection="1">
      <alignment horizontal="center" vertical="center"/>
    </xf>
    <xf numFmtId="49" fontId="45" fillId="0" borderId="0" xfId="0" applyNumberFormat="1" applyFont="1" applyFill="1" applyBorder="1" applyAlignment="1" applyProtection="1">
      <alignment horizontal="center"/>
    </xf>
    <xf numFmtId="49" fontId="45" fillId="0" borderId="0" xfId="0" applyNumberFormat="1" applyFont="1" applyFill="1" applyBorder="1" applyAlignment="1" applyProtection="1">
      <alignment horizontal="right"/>
    </xf>
    <xf numFmtId="49" fontId="45" fillId="0" borderId="0" xfId="0" applyNumberFormat="1" applyFont="1" applyFill="1" applyBorder="1" applyAlignment="1" applyProtection="1">
      <alignment horizontal="left"/>
    </xf>
    <xf numFmtId="0" fontId="45" fillId="0" borderId="0" xfId="0" applyFont="1" applyFill="1" applyBorder="1" applyAlignment="1" applyProtection="1">
      <alignment horizontal="center"/>
    </xf>
    <xf numFmtId="2" fontId="45" fillId="0" borderId="0" xfId="0" applyNumberFormat="1" applyFont="1" applyFill="1" applyBorder="1" applyAlignment="1" applyProtection="1">
      <alignment horizontal="center"/>
    </xf>
    <xf numFmtId="164" fontId="45" fillId="0" borderId="0" xfId="0" applyNumberFormat="1" applyFont="1" applyFill="1" applyBorder="1" applyAlignment="1" applyProtection="1">
      <alignment horizontal="right"/>
    </xf>
    <xf numFmtId="164" fontId="45" fillId="0" borderId="0" xfId="0" applyNumberFormat="1" applyFont="1" applyFill="1" applyProtection="1"/>
    <xf numFmtId="165" fontId="36" fillId="0" borderId="33" xfId="0" applyNumberFormat="1" applyFont="1" applyFill="1" applyBorder="1" applyAlignment="1" applyProtection="1">
      <alignment horizontal="right"/>
      <protection locked="0"/>
    </xf>
    <xf numFmtId="165" fontId="42" fillId="0" borderId="33" xfId="0" applyNumberFormat="1" applyFont="1" applyFill="1" applyBorder="1" applyAlignment="1" applyProtection="1">
      <alignment horizontal="right"/>
      <protection locked="0"/>
    </xf>
    <xf numFmtId="165" fontId="42" fillId="0" borderId="33" xfId="0" applyNumberFormat="1" applyFont="1" applyFill="1" applyBorder="1" applyAlignment="1" applyProtection="1">
      <alignment horizontal="center"/>
      <protection locked="0"/>
    </xf>
    <xf numFmtId="0" fontId="41" fillId="0" borderId="21" xfId="0" applyFont="1" applyFill="1" applyBorder="1" applyAlignment="1">
      <alignment horizontal="right" wrapText="1"/>
    </xf>
    <xf numFmtId="1" fontId="41" fillId="0" borderId="21" xfId="0" applyNumberFormat="1" applyFont="1" applyFill="1" applyBorder="1" applyAlignment="1" applyProtection="1">
      <alignment horizontal="center"/>
      <protection locked="0"/>
    </xf>
    <xf numFmtId="2" fontId="46" fillId="0" borderId="21" xfId="0" applyNumberFormat="1" applyFont="1" applyFill="1" applyBorder="1" applyAlignment="1" applyProtection="1">
      <alignment horizontal="right" vertical="center"/>
    </xf>
    <xf numFmtId="2" fontId="46" fillId="0" borderId="21" xfId="0" applyNumberFormat="1" applyFont="1" applyFill="1" applyBorder="1" applyAlignment="1">
      <alignment horizontal="right"/>
    </xf>
    <xf numFmtId="2" fontId="46" fillId="0" borderId="2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Fill="1" applyAlignment="1" applyProtection="1">
      <alignment horizontal="center"/>
    </xf>
    <xf numFmtId="2" fontId="36" fillId="0" borderId="35" xfId="0" applyNumberFormat="1" applyFont="1" applyFill="1" applyBorder="1" applyAlignment="1" applyProtection="1">
      <alignment horizontal="center"/>
      <protection locked="0"/>
    </xf>
    <xf numFmtId="0" fontId="36" fillId="0" borderId="21" xfId="0" applyFont="1" applyFill="1" applyBorder="1" applyAlignment="1" applyProtection="1">
      <alignment horizontal="center" vertical="center"/>
    </xf>
    <xf numFmtId="165" fontId="36" fillId="0" borderId="21" xfId="0" applyNumberFormat="1" applyFont="1" applyFill="1" applyBorder="1" applyAlignment="1">
      <alignment horizontal="center" vertical="top" wrapText="1"/>
    </xf>
    <xf numFmtId="0" fontId="36" fillId="0" borderId="21" xfId="0" applyFont="1" applyFill="1" applyBorder="1" applyAlignment="1">
      <alignment horizontal="center" vertical="top" wrapText="1"/>
    </xf>
    <xf numFmtId="0" fontId="36" fillId="0" borderId="0" xfId="0" applyFont="1" applyFill="1" applyAlignment="1">
      <alignment horizontal="center"/>
    </xf>
    <xf numFmtId="0" fontId="36" fillId="0" borderId="0" xfId="0" applyFont="1" applyFill="1" applyAlignment="1" applyProtection="1">
      <alignment horizontal="center" vertical="center"/>
    </xf>
    <xf numFmtId="2" fontId="36" fillId="0" borderId="21" xfId="0" applyNumberFormat="1" applyFont="1" applyFill="1" applyBorder="1" applyAlignment="1">
      <alignment horizontal="center" vertical="top" wrapText="1"/>
    </xf>
    <xf numFmtId="0" fontId="45" fillId="0" borderId="21" xfId="0" applyFont="1" applyFill="1" applyBorder="1" applyAlignment="1" applyProtection="1">
      <alignment horizontal="left" vertical="center" wrapText="1" inden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 indent="2"/>
    </xf>
    <xf numFmtId="0" fontId="44" fillId="0" borderId="21" xfId="0" applyFont="1" applyFill="1" applyBorder="1" applyAlignment="1" applyProtection="1">
      <alignment horizontal="left" vertical="center" wrapText="1" indent="2"/>
    </xf>
    <xf numFmtId="0" fontId="45" fillId="0" borderId="38" xfId="0" applyFont="1" applyFill="1" applyBorder="1" applyAlignment="1" applyProtection="1">
      <alignment horizontal="left" vertical="center" wrapText="1" indent="2"/>
    </xf>
    <xf numFmtId="0" fontId="45" fillId="0" borderId="21" xfId="0" applyFont="1" applyFill="1" applyBorder="1" applyAlignment="1" applyProtection="1">
      <alignment horizontal="left" vertical="center" wrapText="1" indent="3"/>
    </xf>
    <xf numFmtId="0" fontId="44" fillId="0" borderId="21" xfId="0" applyFont="1" applyFill="1" applyBorder="1" applyAlignment="1" applyProtection="1">
      <alignment horizontal="left" vertical="center" wrapText="1" indent="1"/>
    </xf>
    <xf numFmtId="0" fontId="45" fillId="0" borderId="34" xfId="0" applyFont="1" applyFill="1" applyBorder="1" applyAlignment="1" applyProtection="1">
      <alignment horizontal="left" vertical="center" wrapText="1" indent="1"/>
    </xf>
    <xf numFmtId="0" fontId="45" fillId="0" borderId="21" xfId="0" applyFont="1" applyFill="1" applyBorder="1" applyAlignment="1" applyProtection="1">
      <alignment horizontal="left" wrapText="1" indent="1"/>
    </xf>
    <xf numFmtId="0" fontId="45" fillId="0" borderId="21" xfId="0" applyFont="1" applyFill="1" applyBorder="1" applyAlignment="1" applyProtection="1">
      <alignment horizontal="right" vertical="center" wrapText="1" indent="1"/>
    </xf>
    <xf numFmtId="0" fontId="45" fillId="0" borderId="38" xfId="0" applyFont="1" applyFill="1" applyBorder="1" applyAlignment="1" applyProtection="1">
      <alignment horizontal="right" vertical="center" wrapText="1" indent="1"/>
    </xf>
    <xf numFmtId="0" fontId="45" fillId="0" borderId="21" xfId="0" applyFont="1" applyFill="1" applyBorder="1" applyAlignment="1" applyProtection="1">
      <alignment vertical="center" wrapText="1"/>
    </xf>
    <xf numFmtId="0" fontId="45" fillId="0" borderId="21" xfId="0" applyFont="1" applyFill="1" applyBorder="1" applyAlignment="1" applyProtection="1">
      <alignment horizontal="center" vertical="center"/>
    </xf>
    <xf numFmtId="0" fontId="44" fillId="0" borderId="22" xfId="0" applyFont="1" applyFill="1" applyBorder="1" applyAlignment="1" applyProtection="1">
      <alignment horizontal="left" vertical="center" wrapText="1" indent="1"/>
    </xf>
    <xf numFmtId="0" fontId="45" fillId="0" borderId="21" xfId="0" applyFont="1" applyFill="1" applyBorder="1" applyAlignment="1" applyProtection="1">
      <alignment horizontal="left" vertical="top" wrapText="1" indent="1"/>
    </xf>
    <xf numFmtId="0" fontId="44" fillId="0" borderId="21" xfId="0" applyFont="1" applyFill="1" applyBorder="1" applyAlignment="1" applyProtection="1">
      <alignment horizontal="left" vertical="top" wrapText="1" indent="1"/>
    </xf>
    <xf numFmtId="0" fontId="45" fillId="0" borderId="21" xfId="0" applyFont="1" applyFill="1" applyBorder="1" applyAlignment="1">
      <alignment horizontal="left" vertical="top" wrapText="1" indent="1"/>
    </xf>
    <xf numFmtId="0" fontId="45" fillId="0" borderId="22" xfId="0" applyFont="1" applyFill="1" applyBorder="1" applyAlignment="1" applyProtection="1">
      <alignment horizontal="left" vertical="center" wrapText="1" indent="1"/>
    </xf>
    <xf numFmtId="0" fontId="44" fillId="0" borderId="21" xfId="0" applyFont="1" applyFill="1" applyBorder="1" applyAlignment="1">
      <alignment horizontal="left" vertical="top" wrapText="1" indent="1"/>
    </xf>
    <xf numFmtId="2" fontId="45" fillId="0" borderId="22" xfId="0" applyNumberFormat="1" applyFont="1" applyFill="1" applyBorder="1" applyAlignment="1" applyProtection="1">
      <alignment horizontal="right" vertical="center"/>
    </xf>
    <xf numFmtId="0" fontId="41" fillId="0" borderId="22" xfId="0" applyFont="1" applyFill="1" applyBorder="1" applyAlignment="1">
      <alignment horizontal="center" vertical="top" wrapText="1"/>
    </xf>
    <xf numFmtId="49" fontId="41" fillId="0" borderId="22" xfId="0" applyNumberFormat="1" applyFont="1" applyFill="1" applyBorder="1" applyAlignment="1">
      <alignment horizontal="center" vertical="top" wrapText="1"/>
    </xf>
    <xf numFmtId="2" fontId="34" fillId="0" borderId="22" xfId="0" applyNumberFormat="1" applyFont="1" applyFill="1" applyBorder="1" applyAlignment="1">
      <alignment horizontal="right"/>
    </xf>
    <xf numFmtId="2" fontId="36" fillId="0" borderId="22" xfId="0" applyNumberFormat="1" applyFont="1" applyFill="1" applyBorder="1" applyAlignment="1" applyProtection="1">
      <alignment horizontal="center"/>
      <protection locked="0"/>
    </xf>
    <xf numFmtId="165" fontId="36" fillId="0" borderId="22" xfId="0" applyNumberFormat="1" applyFont="1" applyFill="1" applyBorder="1" applyAlignment="1" applyProtection="1">
      <alignment horizontal="right"/>
      <protection locked="0"/>
    </xf>
    <xf numFmtId="0" fontId="36" fillId="0" borderId="22" xfId="0" applyFont="1" applyFill="1" applyBorder="1" applyAlignment="1">
      <alignment horizontal="center"/>
    </xf>
    <xf numFmtId="0" fontId="45" fillId="0" borderId="21" xfId="0" applyFont="1" applyFill="1" applyBorder="1" applyAlignment="1">
      <alignment horizontal="left" vertical="center" wrapText="1" indent="1"/>
    </xf>
    <xf numFmtId="0" fontId="45" fillId="0" borderId="21" xfId="0" applyFont="1" applyFill="1" applyBorder="1" applyAlignment="1">
      <alignment vertical="center" wrapText="1"/>
    </xf>
    <xf numFmtId="0" fontId="45" fillId="0" borderId="21" xfId="0" applyFont="1" applyFill="1" applyBorder="1" applyAlignment="1">
      <alignment horizontal="left" vertical="center" wrapText="1" indent="2"/>
    </xf>
    <xf numFmtId="43" fontId="36" fillId="0" borderId="21" xfId="1" applyFont="1" applyFill="1" applyBorder="1" applyAlignment="1" applyProtection="1">
      <alignment horizontal="center" vertical="center" wrapText="1"/>
    </xf>
    <xf numFmtId="2" fontId="36" fillId="0" borderId="37" xfId="0" applyNumberFormat="1" applyFont="1" applyFill="1" applyBorder="1" applyAlignment="1" applyProtection="1">
      <alignment horizontal="center"/>
      <protection locked="0"/>
    </xf>
    <xf numFmtId="2" fontId="40" fillId="0" borderId="37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0" fontId="45" fillId="0" borderId="35" xfId="0" applyFont="1" applyFill="1" applyBorder="1" applyAlignment="1" applyProtection="1">
      <alignment horizontal="left" vertical="center" wrapText="1" indent="1"/>
    </xf>
    <xf numFmtId="165" fontId="42" fillId="0" borderId="37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Fill="1" applyBorder="1"/>
    <xf numFmtId="0" fontId="36" fillId="0" borderId="19" xfId="0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0" fontId="47" fillId="0" borderId="0" xfId="0" applyFont="1" applyFill="1" applyAlignment="1" applyProtection="1">
      <alignment horizontal="centerContinuous" vertical="center"/>
    </xf>
    <xf numFmtId="0" fontId="47" fillId="0" borderId="34" xfId="0" applyFont="1" applyFill="1" applyBorder="1" applyAlignment="1" applyProtection="1">
      <alignment horizontal="center" vertical="center" wrapText="1"/>
    </xf>
    <xf numFmtId="0" fontId="47" fillId="0" borderId="35" xfId="0" applyFont="1" applyFill="1" applyBorder="1" applyAlignment="1" applyProtection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 applyProtection="1">
      <alignment vertical="center" wrapText="1"/>
    </xf>
    <xf numFmtId="0" fontId="47" fillId="0" borderId="21" xfId="0" applyFont="1" applyFill="1" applyBorder="1" applyAlignment="1" applyProtection="1">
      <alignment horizontal="center" vertical="center"/>
    </xf>
    <xf numFmtId="0" fontId="47" fillId="0" borderId="21" xfId="0" applyFont="1" applyFill="1" applyBorder="1" applyProtection="1"/>
    <xf numFmtId="0" fontId="50" fillId="0" borderId="21" xfId="0" applyFont="1" applyFill="1" applyBorder="1" applyAlignment="1" applyProtection="1">
      <alignment horizontal="center" vertical="center" wrapText="1"/>
    </xf>
    <xf numFmtId="0" fontId="47" fillId="0" borderId="0" xfId="0" applyFont="1" applyFill="1" applyProtection="1"/>
    <xf numFmtId="0" fontId="47" fillId="0" borderId="0" xfId="0" applyFont="1" applyFill="1" applyBorder="1" applyProtection="1"/>
    <xf numFmtId="0" fontId="45" fillId="0" borderId="21" xfId="0" applyFont="1" applyFill="1" applyBorder="1" applyAlignment="1" applyProtection="1">
      <alignment horizontal="centerContinuous" vertical="center"/>
    </xf>
    <xf numFmtId="0" fontId="45" fillId="0" borderId="21" xfId="0" applyFont="1" applyFill="1" applyBorder="1" applyAlignment="1" applyProtection="1">
      <alignment horizontal="centerContinuous"/>
    </xf>
    <xf numFmtId="0" fontId="45" fillId="0" borderId="21" xfId="0" applyFont="1" applyFill="1" applyBorder="1" applyAlignment="1" applyProtection="1">
      <alignment horizontal="right"/>
    </xf>
    <xf numFmtId="49" fontId="45" fillId="0" borderId="21" xfId="0" applyNumberFormat="1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Protection="1"/>
    <xf numFmtId="49" fontId="34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/>
    </xf>
    <xf numFmtId="49" fontId="34" fillId="0" borderId="0" xfId="0" applyNumberFormat="1" applyFont="1" applyFill="1" applyBorder="1" applyAlignment="1" applyProtection="1">
      <alignment horizontal="right"/>
    </xf>
    <xf numFmtId="49" fontId="34" fillId="0" borderId="0" xfId="0" applyNumberFormat="1" applyFont="1" applyFill="1" applyBorder="1" applyAlignment="1" applyProtection="1">
      <alignment horizontal="left"/>
    </xf>
    <xf numFmtId="2" fontId="34" fillId="0" borderId="0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0" fontId="45" fillId="0" borderId="16" xfId="0" applyFont="1" applyFill="1" applyBorder="1" applyAlignment="1" applyProtection="1">
      <alignment horizontal="left"/>
    </xf>
    <xf numFmtId="0" fontId="46" fillId="0" borderId="21" xfId="0" applyFont="1" applyFill="1" applyBorder="1" applyAlignment="1" applyProtection="1">
      <alignment horizontal="center" vertical="center" wrapText="1"/>
    </xf>
    <xf numFmtId="0" fontId="41" fillId="0" borderId="21" xfId="0" applyFont="1" applyFill="1" applyBorder="1" applyAlignment="1" applyProtection="1">
      <alignment horizontal="center" vertical="center" wrapText="1"/>
    </xf>
    <xf numFmtId="0" fontId="36" fillId="0" borderId="21" xfId="0" applyFont="1" applyFill="1" applyBorder="1" applyAlignment="1" applyProtection="1">
      <alignment horizontal="center" vertical="center" wrapText="1"/>
    </xf>
    <xf numFmtId="2" fontId="36" fillId="0" borderId="0" xfId="0" applyNumberFormat="1" applyFont="1" applyFill="1" applyBorder="1" applyAlignment="1" applyProtection="1">
      <alignment horizontal="center"/>
    </xf>
    <xf numFmtId="49" fontId="36" fillId="0" borderId="21" xfId="0" applyNumberFormat="1" applyFont="1" applyFill="1" applyBorder="1" applyAlignment="1" applyProtection="1">
      <alignment horizontal="center"/>
      <protection locked="0"/>
    </xf>
    <xf numFmtId="166" fontId="36" fillId="0" borderId="21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Alignment="1">
      <alignment horizontal="justify"/>
    </xf>
    <xf numFmtId="0" fontId="45" fillId="0" borderId="0" xfId="0" applyFont="1" applyFill="1" applyAlignment="1" applyProtection="1">
      <alignment horizontal="left" wrapText="1"/>
    </xf>
    <xf numFmtId="2" fontId="36" fillId="0" borderId="0" xfId="0" applyNumberFormat="1" applyFont="1" applyFill="1" applyBorder="1" applyAlignment="1" applyProtection="1">
      <alignment horizontal="center"/>
    </xf>
    <xf numFmtId="49" fontId="43" fillId="0" borderId="0" xfId="0" applyNumberFormat="1" applyFont="1" applyFill="1" applyAlignment="1" applyProtection="1">
      <alignment horizontal="center" vertical="center" wrapText="1"/>
    </xf>
    <xf numFmtId="0" fontId="36" fillId="0" borderId="21" xfId="0" applyFont="1" applyFill="1" applyBorder="1" applyAlignment="1" applyProtection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2" fontId="42" fillId="0" borderId="38" xfId="0" applyNumberFormat="1" applyFont="1" applyFill="1" applyBorder="1" applyAlignment="1" applyProtection="1">
      <alignment horizontal="center"/>
      <protection locked="0"/>
    </xf>
    <xf numFmtId="2" fontId="42" fillId="0" borderId="33" xfId="0" applyNumberFormat="1" applyFont="1" applyFill="1" applyBorder="1" applyAlignment="1" applyProtection="1">
      <alignment horizontal="center"/>
      <protection locked="0"/>
    </xf>
    <xf numFmtId="2" fontId="42" fillId="0" borderId="37" xfId="0" applyNumberFormat="1" applyFont="1" applyFill="1" applyBorder="1" applyAlignment="1" applyProtection="1">
      <alignment horizontal="center"/>
      <protection locked="0"/>
    </xf>
    <xf numFmtId="0" fontId="42" fillId="0" borderId="38" xfId="0" applyFont="1" applyFill="1" applyBorder="1" applyAlignment="1" applyProtection="1">
      <alignment horizontal="center" vertical="center" wrapText="1"/>
    </xf>
    <xf numFmtId="0" fontId="42" fillId="0" borderId="33" xfId="0" applyFont="1" applyFill="1" applyBorder="1" applyAlignment="1" applyProtection="1">
      <alignment horizontal="center" vertical="center" wrapText="1"/>
    </xf>
    <xf numFmtId="0" fontId="42" fillId="0" borderId="37" xfId="0" applyFont="1" applyFill="1" applyBorder="1" applyAlignment="1" applyProtection="1">
      <alignment horizontal="center" vertical="center" wrapText="1"/>
    </xf>
    <xf numFmtId="0" fontId="36" fillId="0" borderId="34" xfId="0" applyFont="1" applyFill="1" applyBorder="1" applyAlignment="1" applyProtection="1">
      <alignment horizontal="center" vertical="center" wrapText="1"/>
    </xf>
    <xf numFmtId="0" fontId="36" fillId="0" borderId="39" xfId="0" applyFont="1" applyFill="1" applyBorder="1" applyAlignment="1" applyProtection="1">
      <alignment horizontal="center" vertical="center" wrapText="1"/>
    </xf>
    <xf numFmtId="0" fontId="43" fillId="0" borderId="38" xfId="0" applyFont="1" applyFill="1" applyBorder="1" applyAlignment="1" applyProtection="1">
      <alignment horizontal="center" vertical="center" wrapText="1"/>
    </xf>
    <xf numFmtId="0" fontId="43" fillId="0" borderId="33" xfId="0" applyFont="1" applyFill="1" applyBorder="1" applyAlignment="1" applyProtection="1">
      <alignment horizontal="center" vertical="center" wrapText="1"/>
    </xf>
    <xf numFmtId="0" fontId="43" fillId="0" borderId="37" xfId="0" applyFont="1" applyFill="1" applyBorder="1" applyAlignment="1" applyProtection="1">
      <alignment horizontal="center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0" fontId="36" fillId="0" borderId="3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50" fillId="0" borderId="21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left" wrapText="1"/>
    </xf>
    <xf numFmtId="0" fontId="44" fillId="0" borderId="21" xfId="0" applyFont="1" applyFill="1" applyBorder="1" applyAlignment="1" applyProtection="1">
      <alignment horizontal="center" vertical="center"/>
    </xf>
    <xf numFmtId="0" fontId="47" fillId="0" borderId="38" xfId="0" applyFont="1" applyFill="1" applyBorder="1" applyAlignment="1" applyProtection="1">
      <alignment horizontal="left" vertical="center" wrapText="1"/>
    </xf>
    <xf numFmtId="0" fontId="47" fillId="0" borderId="33" xfId="0" applyFont="1" applyFill="1" applyBorder="1" applyAlignment="1" applyProtection="1">
      <alignment horizontal="left" vertical="center" wrapText="1"/>
    </xf>
    <xf numFmtId="0" fontId="47" fillId="0" borderId="37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center" vertical="center" wrapText="1"/>
    </xf>
    <xf numFmtId="0" fontId="46" fillId="0" borderId="34" xfId="0" applyFont="1" applyFill="1" applyBorder="1" applyAlignment="1" applyProtection="1">
      <alignment horizontal="center" vertical="center" wrapText="1"/>
    </xf>
    <xf numFmtId="0" fontId="41" fillId="0" borderId="21" xfId="0" applyFont="1" applyFill="1" applyBorder="1" applyAlignment="1" applyProtection="1">
      <alignment horizontal="center" vertical="center" wrapText="1"/>
    </xf>
    <xf numFmtId="0" fontId="41" fillId="0" borderId="38" xfId="0" applyFont="1" applyFill="1" applyBorder="1" applyAlignment="1" applyProtection="1">
      <alignment horizontal="left" vertical="center" wrapText="1"/>
    </xf>
    <xf numFmtId="0" fontId="41" fillId="0" borderId="33" xfId="0" applyFont="1" applyFill="1" applyBorder="1" applyAlignment="1" applyProtection="1">
      <alignment horizontal="left" vertical="center" wrapText="1"/>
    </xf>
    <xf numFmtId="0" fontId="41" fillId="0" borderId="37" xfId="0" applyFont="1" applyFill="1" applyBorder="1" applyAlignment="1" applyProtection="1">
      <alignment horizontal="left" vertical="center" wrapText="1"/>
    </xf>
    <xf numFmtId="0" fontId="41" fillId="0" borderId="38" xfId="0" applyFont="1" applyFill="1" applyBorder="1" applyAlignment="1">
      <alignment horizontal="left" vertical="top" wrapText="1"/>
    </xf>
    <xf numFmtId="0" fontId="41" fillId="0" borderId="33" xfId="0" applyFont="1" applyFill="1" applyBorder="1" applyAlignment="1">
      <alignment horizontal="left" vertical="top" wrapText="1"/>
    </xf>
    <xf numFmtId="0" fontId="41" fillId="0" borderId="37" xfId="0" applyFont="1" applyFill="1" applyBorder="1" applyAlignment="1">
      <alignment horizontal="left" vertical="top" wrapText="1"/>
    </xf>
    <xf numFmtId="0" fontId="41" fillId="0" borderId="21" xfId="0" applyFont="1" applyFill="1" applyBorder="1" applyAlignment="1" applyProtection="1">
      <alignment horizontal="left" vertical="center" wrapText="1"/>
    </xf>
    <xf numFmtId="2" fontId="34" fillId="0" borderId="0" xfId="0" applyNumberFormat="1" applyFont="1" applyFill="1" applyBorder="1" applyAlignment="1" applyProtection="1">
      <alignment horizontal="center"/>
    </xf>
    <xf numFmtId="0" fontId="45" fillId="0" borderId="16" xfId="0" applyFont="1" applyFill="1" applyBorder="1" applyAlignment="1" applyProtection="1">
      <alignment horizontal="left"/>
    </xf>
    <xf numFmtId="0" fontId="45" fillId="0" borderId="0" xfId="0" applyFont="1" applyFill="1" applyBorder="1" applyAlignment="1" applyProtection="1">
      <alignment horizontal="left" wrapText="1"/>
    </xf>
    <xf numFmtId="0" fontId="48" fillId="0" borderId="38" xfId="0" applyFont="1" applyFill="1" applyBorder="1" applyAlignment="1" applyProtection="1">
      <alignment horizontal="center" vertical="top" wrapText="1"/>
    </xf>
    <xf numFmtId="0" fontId="48" fillId="0" borderId="33" xfId="0" applyFont="1" applyFill="1" applyBorder="1" applyAlignment="1" applyProtection="1">
      <alignment horizontal="center" vertical="top" wrapText="1"/>
    </xf>
    <xf numFmtId="0" fontId="48" fillId="0" borderId="37" xfId="0" applyFont="1" applyFill="1" applyBorder="1" applyAlignment="1" applyProtection="1">
      <alignment horizontal="center" vertical="top" wrapText="1"/>
    </xf>
    <xf numFmtId="2" fontId="4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wrapText="1"/>
    </xf>
    <xf numFmtId="0" fontId="34" fillId="0" borderId="38" xfId="0" applyFont="1" applyFill="1" applyBorder="1" applyAlignment="1" applyProtection="1">
      <alignment horizontal="left" vertical="center" wrapText="1"/>
    </xf>
    <xf numFmtId="0" fontId="34" fillId="0" borderId="33" xfId="0" applyFont="1" applyFill="1" applyBorder="1" applyAlignment="1" applyProtection="1">
      <alignment horizontal="left" vertical="center" wrapText="1"/>
    </xf>
    <xf numFmtId="0" fontId="34" fillId="0" borderId="37" xfId="0" applyFont="1" applyFill="1" applyBorder="1" applyAlignment="1" applyProtection="1">
      <alignment horizontal="left" vertical="center" wrapText="1"/>
    </xf>
    <xf numFmtId="0" fontId="42" fillId="0" borderId="21" xfId="0" applyFont="1" applyFill="1" applyBorder="1" applyAlignment="1" applyProtection="1">
      <alignment horizontal="center" vertical="top" wrapText="1"/>
    </xf>
    <xf numFmtId="2" fontId="41" fillId="0" borderId="38" xfId="0" applyNumberFormat="1" applyFont="1" applyFill="1" applyBorder="1" applyAlignment="1" applyProtection="1">
      <alignment horizontal="left" wrapText="1"/>
      <protection locked="0"/>
    </xf>
    <xf numFmtId="2" fontId="41" fillId="0" borderId="33" xfId="0" applyNumberFormat="1" applyFont="1" applyFill="1" applyBorder="1" applyAlignment="1" applyProtection="1">
      <alignment horizontal="left" wrapText="1"/>
      <protection locked="0"/>
    </xf>
    <xf numFmtId="2" fontId="41" fillId="0" borderId="37" xfId="0" applyNumberFormat="1" applyFont="1" applyFill="1" applyBorder="1" applyAlignment="1" applyProtection="1">
      <alignment horizontal="left" wrapText="1"/>
      <protection locked="0"/>
    </xf>
    <xf numFmtId="0" fontId="18" fillId="0" borderId="41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4" xfId="0" applyFont="1" applyBorder="1" applyAlignment="1" applyProtection="1">
      <alignment horizontal="left" vertical="top" wrapText="1"/>
    </xf>
    <xf numFmtId="0" fontId="18" fillId="0" borderId="40" xfId="0" applyFont="1" applyBorder="1" applyAlignment="1" applyProtection="1">
      <alignment horizontal="left" vertical="top" wrapText="1"/>
    </xf>
    <xf numFmtId="2" fontId="24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29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24" fillId="0" borderId="43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24" fillId="0" borderId="28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2" fontId="24" fillId="0" borderId="28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9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42" xfId="0" applyFont="1" applyBorder="1" applyAlignment="1">
      <alignment horizontal="center" vertical="top" wrapText="1"/>
    </xf>
    <xf numFmtId="0" fontId="21" fillId="0" borderId="34" xfId="0" applyFont="1" applyFill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2" fontId="24" fillId="0" borderId="26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7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FFFF00"/>
  </sheetPr>
  <dimension ref="A1:X839"/>
  <sheetViews>
    <sheetView tabSelected="1" view="pageBreakPreview" zoomScale="120" zoomScaleNormal="120" zoomScaleSheetLayoutView="120" workbookViewId="0">
      <pane xSplit="11" ySplit="5" topLeftCell="N300" activePane="bottomRight" state="frozen"/>
      <selection pane="topRight" activeCell="L1" sqref="L1"/>
      <selection pane="bottomLeft" activeCell="A9" sqref="A9"/>
      <selection pane="bottomRight" activeCell="A301" sqref="A301:S301"/>
    </sheetView>
  </sheetViews>
  <sheetFormatPr defaultColWidth="8.85546875" defaultRowHeight="15"/>
  <cols>
    <col min="1" max="1" width="55" style="286" customWidth="1"/>
    <col min="2" max="2" width="32.5703125" style="430" customWidth="1"/>
    <col min="3" max="3" width="9.42578125" style="353" hidden="1" customWidth="1"/>
    <col min="4" max="4" width="5.140625" style="354" hidden="1" customWidth="1"/>
    <col min="5" max="5" width="6.28515625" style="355" hidden="1" customWidth="1"/>
    <col min="6" max="6" width="8.42578125" style="353" hidden="1" customWidth="1"/>
    <col min="7" max="7" width="4.7109375" style="356" hidden="1" customWidth="1"/>
    <col min="8" max="8" width="10.140625" style="286" hidden="1" customWidth="1"/>
    <col min="9" max="9" width="9.5703125" style="286" hidden="1" customWidth="1"/>
    <col min="10" max="10" width="9.28515625" style="286" hidden="1" customWidth="1"/>
    <col min="11" max="11" width="9" style="286" hidden="1" customWidth="1"/>
    <col min="12" max="12" width="10.7109375" style="221" hidden="1" customWidth="1"/>
    <col min="13" max="13" width="10.5703125" style="221" hidden="1" customWidth="1"/>
    <col min="14" max="14" width="10.140625" style="221" hidden="1" customWidth="1"/>
    <col min="15" max="15" width="9" style="221" hidden="1" customWidth="1"/>
    <col min="16" max="16" width="9.140625" style="276" hidden="1" customWidth="1"/>
    <col min="17" max="17" width="9" style="276" hidden="1" customWidth="1"/>
    <col min="18" max="18" width="12.28515625" style="276" customWidth="1"/>
    <col min="19" max="19" width="13.140625" style="276" customWidth="1"/>
    <col min="20" max="20" width="15.85546875" style="287" customWidth="1"/>
    <col min="21" max="16384" width="8.85546875" style="286"/>
  </cols>
  <sheetData>
    <row r="1" spans="1:20" s="284" customFormat="1" ht="26.25" customHeight="1">
      <c r="A1" s="280"/>
      <c r="B1" s="422"/>
      <c r="C1" s="281"/>
      <c r="D1" s="281"/>
      <c r="E1" s="281"/>
      <c r="F1" s="281"/>
      <c r="G1" s="282"/>
      <c r="H1" s="281"/>
      <c r="I1" s="281"/>
      <c r="J1" s="281"/>
      <c r="K1" s="281"/>
      <c r="L1" s="220"/>
      <c r="M1" s="220"/>
      <c r="N1" s="220"/>
      <c r="O1" s="220"/>
      <c r="P1" s="380"/>
      <c r="Q1" s="380"/>
      <c r="R1" s="380"/>
      <c r="S1" s="374"/>
      <c r="T1" s="283"/>
    </row>
    <row r="2" spans="1:20" ht="49.5" customHeight="1">
      <c r="A2" s="457" t="s">
        <v>956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285"/>
    </row>
    <row r="3" spans="1:20" ht="15.75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</row>
    <row r="4" spans="1:20" ht="15.75" customHeight="1">
      <c r="A4" s="476" t="s">
        <v>262</v>
      </c>
      <c r="B4" s="474" t="s">
        <v>263</v>
      </c>
      <c r="C4" s="288" t="s">
        <v>264</v>
      </c>
      <c r="D4" s="289" t="s">
        <v>265</v>
      </c>
      <c r="E4" s="290" t="s">
        <v>266</v>
      </c>
      <c r="F4" s="289" t="s">
        <v>267</v>
      </c>
      <c r="G4" s="291" t="s">
        <v>268</v>
      </c>
      <c r="H4" s="292" t="s">
        <v>269</v>
      </c>
      <c r="I4" s="292"/>
      <c r="J4" s="292"/>
      <c r="K4" s="292"/>
      <c r="L4" s="458" t="s">
        <v>146</v>
      </c>
      <c r="M4" s="458" t="s">
        <v>38</v>
      </c>
      <c r="N4" s="458" t="s">
        <v>874</v>
      </c>
      <c r="O4" s="448" t="s">
        <v>269</v>
      </c>
      <c r="P4" s="466">
        <v>2016</v>
      </c>
      <c r="Q4" s="472">
        <v>2018</v>
      </c>
      <c r="R4" s="466" t="s">
        <v>957</v>
      </c>
      <c r="S4" s="450" t="s">
        <v>951</v>
      </c>
      <c r="T4" s="293"/>
    </row>
    <row r="5" spans="1:20" ht="40.5" customHeight="1">
      <c r="A5" s="476"/>
      <c r="B5" s="474"/>
      <c r="C5" s="294"/>
      <c r="D5" s="295"/>
      <c r="E5" s="296"/>
      <c r="F5" s="294"/>
      <c r="G5" s="291"/>
      <c r="H5" s="294">
        <v>1998</v>
      </c>
      <c r="I5" s="294">
        <v>1999</v>
      </c>
      <c r="J5" s="294">
        <v>2000</v>
      </c>
      <c r="K5" s="294">
        <v>2001</v>
      </c>
      <c r="L5" s="459"/>
      <c r="M5" s="459"/>
      <c r="N5" s="459"/>
      <c r="O5" s="278">
        <v>2011</v>
      </c>
      <c r="P5" s="471"/>
      <c r="Q5" s="473"/>
      <c r="R5" s="467"/>
      <c r="S5" s="411" t="s">
        <v>958</v>
      </c>
      <c r="T5" s="297"/>
    </row>
    <row r="6" spans="1:20" s="287" customFormat="1" ht="18" customHeight="1">
      <c r="A6" s="468" t="s">
        <v>663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70"/>
      <c r="T6" s="297"/>
    </row>
    <row r="7" spans="1:20" s="287" customFormat="1" ht="22.5" hidden="1" customHeight="1">
      <c r="A7" s="382" t="s">
        <v>337</v>
      </c>
      <c r="B7" s="298" t="s">
        <v>593</v>
      </c>
      <c r="C7" s="299">
        <v>1</v>
      </c>
      <c r="D7" s="300"/>
      <c r="E7" s="300"/>
      <c r="F7" s="300"/>
      <c r="G7" s="301" t="s">
        <v>454</v>
      </c>
      <c r="H7" s="302"/>
      <c r="I7" s="302"/>
      <c r="J7" s="302"/>
      <c r="K7" s="302"/>
      <c r="L7" s="227" t="s">
        <v>875</v>
      </c>
      <c r="M7" s="224" t="s">
        <v>875</v>
      </c>
      <c r="N7" s="224">
        <v>14.872999999999999</v>
      </c>
      <c r="O7" s="227">
        <v>14.5</v>
      </c>
      <c r="P7" s="251"/>
      <c r="Q7" s="227">
        <f>(O8+Q8)/2</f>
        <v>12.870999999999999</v>
      </c>
      <c r="R7" s="223"/>
      <c r="S7" s="223">
        <f>(Q8+S8)/2</f>
        <v>11.454000000000001</v>
      </c>
      <c r="T7" s="297" t="s">
        <v>883</v>
      </c>
    </row>
    <row r="8" spans="1:20" s="287" customFormat="1" ht="22.5" customHeight="1">
      <c r="A8" s="382" t="s">
        <v>882</v>
      </c>
      <c r="B8" s="298" t="s">
        <v>593</v>
      </c>
      <c r="C8" s="299"/>
      <c r="D8" s="300"/>
      <c r="E8" s="300"/>
      <c r="F8" s="300"/>
      <c r="G8" s="301"/>
      <c r="H8" s="302"/>
      <c r="I8" s="302"/>
      <c r="J8" s="302"/>
      <c r="K8" s="302"/>
      <c r="L8" s="228">
        <v>16.209</v>
      </c>
      <c r="M8" s="222">
        <v>15.161</v>
      </c>
      <c r="N8" s="222">
        <v>14.753</v>
      </c>
      <c r="O8" s="227">
        <v>14.247999999999999</v>
      </c>
      <c r="P8" s="251">
        <v>12</v>
      </c>
      <c r="Q8" s="256">
        <v>11.494</v>
      </c>
      <c r="R8" s="223" t="s">
        <v>875</v>
      </c>
      <c r="S8" s="223">
        <v>11.414</v>
      </c>
      <c r="T8" s="297"/>
    </row>
    <row r="9" spans="1:20" s="287" customFormat="1" ht="15" customHeight="1">
      <c r="A9" s="382" t="s">
        <v>915</v>
      </c>
      <c r="B9" s="298" t="s">
        <v>593</v>
      </c>
      <c r="C9" s="299"/>
      <c r="D9" s="300"/>
      <c r="E9" s="300"/>
      <c r="F9" s="300"/>
      <c r="G9" s="301"/>
      <c r="H9" s="302"/>
      <c r="I9" s="302"/>
      <c r="J9" s="302"/>
      <c r="K9" s="302"/>
      <c r="L9" s="228"/>
      <c r="M9" s="222"/>
      <c r="N9" s="222"/>
      <c r="O9" s="227"/>
      <c r="P9" s="251">
        <v>0.16200000000000001</v>
      </c>
      <c r="Q9" s="256">
        <v>0.108</v>
      </c>
      <c r="R9" s="223" t="s">
        <v>959</v>
      </c>
      <c r="S9" s="378">
        <v>0.09</v>
      </c>
      <c r="T9" s="297"/>
    </row>
    <row r="10" spans="1:20" s="287" customFormat="1" ht="17.25" customHeight="1">
      <c r="A10" s="382" t="s">
        <v>914</v>
      </c>
      <c r="B10" s="298" t="s">
        <v>593</v>
      </c>
      <c r="C10" s="299"/>
      <c r="D10" s="300"/>
      <c r="E10" s="300"/>
      <c r="F10" s="300"/>
      <c r="G10" s="301"/>
      <c r="H10" s="302"/>
      <c r="I10" s="302"/>
      <c r="J10" s="302"/>
      <c r="K10" s="302"/>
      <c r="L10" s="228"/>
      <c r="M10" s="222"/>
      <c r="N10" s="222"/>
      <c r="O10" s="227"/>
      <c r="P10" s="251">
        <v>0.186</v>
      </c>
      <c r="Q10" s="256">
        <v>0.17100000000000001</v>
      </c>
      <c r="R10" s="223" t="s">
        <v>960</v>
      </c>
      <c r="S10" s="378">
        <v>0.17</v>
      </c>
      <c r="T10" s="297"/>
    </row>
    <row r="11" spans="1:20" s="287" customFormat="1" ht="17.25" customHeight="1">
      <c r="A11" s="382" t="s">
        <v>916</v>
      </c>
      <c r="B11" s="298" t="s">
        <v>593</v>
      </c>
      <c r="C11" s="299"/>
      <c r="D11" s="300"/>
      <c r="E11" s="300"/>
      <c r="F11" s="300"/>
      <c r="G11" s="301"/>
      <c r="H11" s="302"/>
      <c r="I11" s="302"/>
      <c r="J11" s="302"/>
      <c r="K11" s="302"/>
      <c r="L11" s="228"/>
      <c r="M11" s="222"/>
      <c r="N11" s="222"/>
      <c r="O11" s="227"/>
      <c r="P11" s="251">
        <v>-2.4E-2</v>
      </c>
      <c r="Q11" s="227">
        <f>Q9-Q10</f>
        <v>-6.3000000000000014E-2</v>
      </c>
      <c r="R11" s="452" t="s">
        <v>962</v>
      </c>
      <c r="S11" s="245">
        <f>(S9-S10)</f>
        <v>-8.0000000000000016E-2</v>
      </c>
      <c r="T11" s="297"/>
    </row>
    <row r="12" spans="1:20" s="287" customFormat="1" ht="17.25" customHeight="1">
      <c r="A12" s="383" t="s">
        <v>908</v>
      </c>
      <c r="B12" s="298" t="s">
        <v>593</v>
      </c>
      <c r="C12" s="299"/>
      <c r="D12" s="300"/>
      <c r="E12" s="300"/>
      <c r="F12" s="300"/>
      <c r="G12" s="301"/>
      <c r="H12" s="302"/>
      <c r="I12" s="302"/>
      <c r="J12" s="302"/>
      <c r="K12" s="302"/>
      <c r="L12" s="228"/>
      <c r="M12" s="222"/>
      <c r="N12" s="222"/>
      <c r="O12" s="227"/>
      <c r="P12" s="251">
        <v>-0.28199999999999997</v>
      </c>
      <c r="Q12" s="227">
        <v>-0.24</v>
      </c>
      <c r="R12" s="452" t="s">
        <v>963</v>
      </c>
      <c r="S12" s="248">
        <v>0</v>
      </c>
      <c r="T12" s="297"/>
    </row>
    <row r="13" spans="1:20" s="287" customFormat="1" ht="15.75" customHeight="1">
      <c r="A13" s="477" t="s">
        <v>955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9"/>
      <c r="T13" s="297"/>
    </row>
    <row r="14" spans="1:20" s="287" customFormat="1" ht="16.5" customHeight="1">
      <c r="A14" s="477" t="s">
        <v>961</v>
      </c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9"/>
      <c r="T14" s="297"/>
    </row>
    <row r="15" spans="1:20" s="303" customFormat="1" ht="15.75" customHeight="1">
      <c r="A15" s="468" t="s">
        <v>671</v>
      </c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70"/>
      <c r="T15" s="297"/>
    </row>
    <row r="16" spans="1:20" ht="14.25" customHeight="1">
      <c r="A16" s="463" t="s">
        <v>695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5"/>
      <c r="T16" s="297"/>
    </row>
    <row r="17" spans="1:20" s="287" customFormat="1" ht="15" hidden="1" customHeight="1">
      <c r="A17" s="384" t="s">
        <v>532</v>
      </c>
      <c r="B17" s="298" t="s">
        <v>664</v>
      </c>
      <c r="C17" s="299">
        <v>1</v>
      </c>
      <c r="D17" s="304"/>
      <c r="E17" s="304"/>
      <c r="F17" s="304"/>
      <c r="G17" s="305" t="s">
        <v>455</v>
      </c>
      <c r="H17" s="302"/>
      <c r="I17" s="302"/>
      <c r="J17" s="302"/>
      <c r="K17" s="302"/>
      <c r="L17" s="240">
        <v>93.9</v>
      </c>
      <c r="M17" s="240">
        <f>100-5.1</f>
        <v>94.9</v>
      </c>
      <c r="N17" s="223">
        <v>97.2</v>
      </c>
      <c r="O17" s="223" t="s">
        <v>845</v>
      </c>
      <c r="P17" s="223"/>
      <c r="Q17" s="223" t="e">
        <f>(Q19/#REF!*100+Q34/Q38*100+Q40/Q45*100)/(O19+O34+O40)*100</f>
        <v>#REF!</v>
      </c>
      <c r="R17" s="223"/>
      <c r="S17" s="223">
        <f>(S19/S30*100+S34/S38*100+S40/S45*100)/(Q19+Q34+Q40)*100</f>
        <v>98.31194054340483</v>
      </c>
      <c r="T17" s="297"/>
    </row>
    <row r="18" spans="1:20" ht="14.25">
      <c r="A18" s="463" t="s">
        <v>681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5"/>
      <c r="T18" s="297"/>
    </row>
    <row r="19" spans="1:20" ht="30.75" customHeight="1">
      <c r="A19" s="384" t="s">
        <v>801</v>
      </c>
      <c r="B19" s="298" t="s">
        <v>676</v>
      </c>
      <c r="C19" s="299">
        <v>1</v>
      </c>
      <c r="D19" s="304"/>
      <c r="E19" s="304"/>
      <c r="F19" s="304"/>
      <c r="G19" s="305" t="s">
        <v>454</v>
      </c>
      <c r="H19" s="302"/>
      <c r="I19" s="302"/>
      <c r="J19" s="302"/>
      <c r="K19" s="302"/>
      <c r="L19" s="240">
        <v>6704.3</v>
      </c>
      <c r="M19" s="240">
        <v>7268</v>
      </c>
      <c r="N19" s="224">
        <v>8023.27</v>
      </c>
      <c r="O19" s="240">
        <v>6526.4</v>
      </c>
      <c r="P19" s="223">
        <v>12501.4</v>
      </c>
      <c r="Q19" s="414">
        <v>13639.9</v>
      </c>
      <c r="R19" s="223">
        <v>9057.1</v>
      </c>
      <c r="S19" s="223">
        <v>14621.49</v>
      </c>
      <c r="T19" s="237"/>
    </row>
    <row r="20" spans="1:20" hidden="1">
      <c r="A20" s="384"/>
      <c r="B20" s="298"/>
      <c r="C20" s="299"/>
      <c r="D20" s="304"/>
      <c r="E20" s="304"/>
      <c r="F20" s="304"/>
      <c r="G20" s="305"/>
      <c r="H20" s="302"/>
      <c r="I20" s="302"/>
      <c r="J20" s="302"/>
      <c r="K20" s="302"/>
      <c r="L20" s="238"/>
      <c r="M20" s="240"/>
      <c r="N20" s="252">
        <f>M19*110.6/100</f>
        <v>8038.4079999999994</v>
      </c>
      <c r="O20" s="238">
        <f>N20*106/100</f>
        <v>8520.7124799999983</v>
      </c>
      <c r="P20" s="223"/>
      <c r="Q20" s="224"/>
      <c r="R20" s="223">
        <f>R19/8*12</f>
        <v>13585.650000000001</v>
      </c>
      <c r="S20" s="223" t="s">
        <v>940</v>
      </c>
      <c r="T20" s="237"/>
    </row>
    <row r="21" spans="1:20" hidden="1">
      <c r="A21" s="384"/>
      <c r="B21" s="298"/>
      <c r="C21" s="299"/>
      <c r="D21" s="304"/>
      <c r="E21" s="304"/>
      <c r="F21" s="304"/>
      <c r="G21" s="305"/>
      <c r="H21" s="302"/>
      <c r="I21" s="302"/>
      <c r="J21" s="302"/>
      <c r="K21" s="302"/>
      <c r="L21" s="238"/>
      <c r="M21" s="240"/>
      <c r="N21" s="252"/>
      <c r="O21" s="238"/>
      <c r="P21" s="223"/>
      <c r="Q21" s="224"/>
      <c r="R21" s="223">
        <v>98.7</v>
      </c>
      <c r="S21" s="223">
        <f>Q19*R21/100</f>
        <v>13462.581299999998</v>
      </c>
      <c r="T21" s="237"/>
    </row>
    <row r="22" spans="1:20" hidden="1">
      <c r="A22" s="385" t="s">
        <v>886</v>
      </c>
      <c r="B22" s="298"/>
      <c r="C22" s="299"/>
      <c r="D22" s="304"/>
      <c r="E22" s="304"/>
      <c r="F22" s="304"/>
      <c r="G22" s="305"/>
      <c r="H22" s="302"/>
      <c r="I22" s="302"/>
      <c r="J22" s="302"/>
      <c r="K22" s="302"/>
      <c r="L22" s="240"/>
      <c r="M22" s="240"/>
      <c r="N22" s="252">
        <v>1056.5</v>
      </c>
      <c r="O22" s="238">
        <v>1005.218</v>
      </c>
      <c r="P22" s="224">
        <v>1005.218</v>
      </c>
      <c r="Q22" s="224">
        <v>1047</v>
      </c>
      <c r="R22" s="224"/>
      <c r="S22" s="224">
        <v>1000</v>
      </c>
      <c r="T22" s="237"/>
    </row>
    <row r="23" spans="1:20" hidden="1">
      <c r="A23" s="385" t="s">
        <v>864</v>
      </c>
      <c r="B23" s="298"/>
      <c r="C23" s="299"/>
      <c r="D23" s="304"/>
      <c r="E23" s="304"/>
      <c r="F23" s="304"/>
      <c r="G23" s="305"/>
      <c r="H23" s="302"/>
      <c r="I23" s="302"/>
      <c r="J23" s="302"/>
      <c r="K23" s="302"/>
      <c r="L23" s="240"/>
      <c r="M23" s="240">
        <v>5330.76</v>
      </c>
      <c r="N23" s="240">
        <v>5741.9669999999996</v>
      </c>
      <c r="O23" s="240">
        <v>5739.41</v>
      </c>
      <c r="P23" s="223"/>
      <c r="Q23" s="223">
        <v>13706.4</v>
      </c>
      <c r="R23" s="223">
        <v>8829.5</v>
      </c>
      <c r="S23" s="223">
        <v>12665.36</v>
      </c>
      <c r="T23" s="297"/>
    </row>
    <row r="24" spans="1:20" hidden="1">
      <c r="A24" s="385" t="s">
        <v>869</v>
      </c>
      <c r="B24" s="298"/>
      <c r="C24" s="299"/>
      <c r="D24" s="304"/>
      <c r="E24" s="304"/>
      <c r="F24" s="304"/>
      <c r="G24" s="305"/>
      <c r="H24" s="302"/>
      <c r="I24" s="302"/>
      <c r="J24" s="302"/>
      <c r="K24" s="302"/>
      <c r="L24" s="240"/>
      <c r="M24" s="240"/>
      <c r="N24" s="240">
        <v>1111</v>
      </c>
      <c r="O24" s="240">
        <v>979</v>
      </c>
      <c r="P24" s="223"/>
      <c r="Q24" s="223">
        <v>704.1</v>
      </c>
      <c r="R24" s="223">
        <v>270.5</v>
      </c>
      <c r="S24" s="223">
        <v>484</v>
      </c>
      <c r="T24" s="297"/>
    </row>
    <row r="25" spans="1:20" hidden="1">
      <c r="A25" s="384"/>
      <c r="B25" s="298"/>
      <c r="C25" s="299"/>
      <c r="D25" s="304"/>
      <c r="E25" s="304"/>
      <c r="F25" s="304"/>
      <c r="G25" s="305"/>
      <c r="H25" s="302"/>
      <c r="I25" s="302"/>
      <c r="J25" s="302"/>
      <c r="K25" s="302"/>
      <c r="L25" s="240"/>
      <c r="M25" s="240"/>
      <c r="N25" s="239">
        <f>SUM(N22:N24)</f>
        <v>7909.4669999999996</v>
      </c>
      <c r="O25" s="239">
        <f>SUM(O22:O24)</f>
        <v>7723.6279999999997</v>
      </c>
      <c r="P25" s="277">
        <f>SUM(P22:P24)</f>
        <v>1005.218</v>
      </c>
      <c r="Q25" s="277">
        <f>SUM(Q22:Q24)</f>
        <v>15457.5</v>
      </c>
      <c r="R25" s="277"/>
      <c r="S25" s="277">
        <f>SUM(S22:S24)</f>
        <v>14149.36</v>
      </c>
      <c r="T25" s="297"/>
    </row>
    <row r="26" spans="1:20" hidden="1">
      <c r="A26" s="384"/>
      <c r="B26" s="298"/>
      <c r="C26" s="299"/>
      <c r="D26" s="304"/>
      <c r="E26" s="304"/>
      <c r="F26" s="304"/>
      <c r="G26" s="305"/>
      <c r="H26" s="302"/>
      <c r="I26" s="302"/>
      <c r="J26" s="302"/>
      <c r="K26" s="302"/>
      <c r="L26" s="240"/>
      <c r="M26" s="240"/>
      <c r="N26" s="228"/>
      <c r="O26" s="240">
        <f>O25/N25*100</f>
        <v>97.650423220679727</v>
      </c>
      <c r="P26" s="223"/>
      <c r="Q26" s="223" t="e">
        <f>Q25/O25*100/#REF!*100</f>
        <v>#REF!</v>
      </c>
      <c r="R26" s="223"/>
      <c r="S26" s="223">
        <f>S25/Q25*100/S30*100</f>
        <v>84.210839556066801</v>
      </c>
      <c r="T26" s="297"/>
    </row>
    <row r="27" spans="1:20" hidden="1">
      <c r="A27" s="385" t="s">
        <v>864</v>
      </c>
      <c r="B27" s="298"/>
      <c r="C27" s="299"/>
      <c r="D27" s="304"/>
      <c r="E27" s="304"/>
      <c r="F27" s="304"/>
      <c r="G27" s="305"/>
      <c r="H27" s="302"/>
      <c r="I27" s="302"/>
      <c r="J27" s="302"/>
      <c r="K27" s="302"/>
      <c r="L27" s="240"/>
      <c r="M27" s="240"/>
      <c r="N27" s="240"/>
      <c r="O27" s="240" t="e">
        <f>O23/N23*100/O30*100</f>
        <v>#DIV/0!</v>
      </c>
      <c r="P27" s="223"/>
      <c r="Q27" s="223"/>
      <c r="R27" s="223"/>
      <c r="S27" s="223"/>
      <c r="T27" s="297"/>
    </row>
    <row r="28" spans="1:20">
      <c r="A28" s="384"/>
      <c r="B28" s="298" t="s">
        <v>677</v>
      </c>
      <c r="C28" s="299"/>
      <c r="D28" s="304"/>
      <c r="E28" s="304"/>
      <c r="F28" s="304"/>
      <c r="G28" s="305"/>
      <c r="H28" s="302"/>
      <c r="I28" s="302"/>
      <c r="J28" s="302"/>
      <c r="K28" s="302"/>
      <c r="L28" s="240"/>
      <c r="M28" s="240"/>
      <c r="N28" s="240"/>
      <c r="O28" s="240">
        <v>89.1</v>
      </c>
      <c r="P28" s="223"/>
      <c r="Q28" s="251"/>
      <c r="R28" s="223">
        <v>101.9</v>
      </c>
      <c r="S28" s="223">
        <v>99</v>
      </c>
      <c r="T28" s="297"/>
    </row>
    <row r="29" spans="1:20" hidden="1">
      <c r="A29" s="384"/>
      <c r="B29" s="298" t="s">
        <v>677</v>
      </c>
      <c r="C29" s="299">
        <v>1</v>
      </c>
      <c r="D29" s="304"/>
      <c r="E29" s="304"/>
      <c r="F29" s="304"/>
      <c r="G29" s="305" t="s">
        <v>453</v>
      </c>
      <c r="H29" s="302"/>
      <c r="I29" s="302"/>
      <c r="J29" s="302"/>
      <c r="K29" s="302"/>
      <c r="L29" s="240"/>
      <c r="M29" s="240"/>
      <c r="N29" s="238"/>
      <c r="O29" s="240">
        <v>100</v>
      </c>
      <c r="P29" s="223"/>
      <c r="Q29" s="223"/>
      <c r="R29" s="223"/>
      <c r="S29" s="223">
        <v>101.3</v>
      </c>
      <c r="T29" s="491"/>
    </row>
    <row r="30" spans="1:20">
      <c r="A30" s="384"/>
      <c r="B30" s="298" t="s">
        <v>800</v>
      </c>
      <c r="C30" s="299">
        <v>1</v>
      </c>
      <c r="D30" s="304"/>
      <c r="E30" s="304"/>
      <c r="F30" s="304"/>
      <c r="G30" s="305" t="s">
        <v>455</v>
      </c>
      <c r="H30" s="302"/>
      <c r="I30" s="302"/>
      <c r="J30" s="302"/>
      <c r="K30" s="302"/>
      <c r="L30" s="240"/>
      <c r="M30" s="240"/>
      <c r="N30" s="240"/>
      <c r="O30" s="240"/>
      <c r="P30" s="223">
        <v>111.6</v>
      </c>
      <c r="Q30" s="414">
        <v>111.2</v>
      </c>
      <c r="R30" s="223" t="s">
        <v>845</v>
      </c>
      <c r="S30" s="223">
        <v>108.7</v>
      </c>
      <c r="T30" s="491"/>
    </row>
    <row r="31" spans="1:20" hidden="1">
      <c r="A31" s="386"/>
      <c r="B31" s="306"/>
      <c r="C31" s="307"/>
      <c r="D31" s="308"/>
      <c r="E31" s="308"/>
      <c r="F31" s="308"/>
      <c r="G31" s="309"/>
      <c r="H31" s="310"/>
      <c r="I31" s="310"/>
      <c r="J31" s="310"/>
      <c r="K31" s="310"/>
      <c r="L31" s="244"/>
      <c r="M31" s="244"/>
      <c r="N31" s="244">
        <f>N22/117.63</f>
        <v>8.9815523250871383</v>
      </c>
      <c r="O31" s="244">
        <f>100.5*N31</f>
        <v>902.64600867125739</v>
      </c>
      <c r="P31" s="272"/>
      <c r="Q31" s="272">
        <f>9*116.4</f>
        <v>1047.6000000000001</v>
      </c>
      <c r="R31" s="272"/>
      <c r="S31" s="412"/>
      <c r="T31" s="447"/>
    </row>
    <row r="32" spans="1:20" ht="17.25" hidden="1" customHeight="1">
      <c r="A32" s="498" t="s">
        <v>896</v>
      </c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500"/>
      <c r="T32" s="447"/>
    </row>
    <row r="33" spans="1:20" ht="14.25">
      <c r="A33" s="463" t="s">
        <v>691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5"/>
      <c r="T33" s="297"/>
    </row>
    <row r="34" spans="1:20" ht="36" customHeight="1">
      <c r="A34" s="384" t="s">
        <v>801</v>
      </c>
      <c r="B34" s="298" t="s">
        <v>676</v>
      </c>
      <c r="C34" s="299">
        <v>1</v>
      </c>
      <c r="D34" s="304"/>
      <c r="E34" s="304"/>
      <c r="F34" s="304"/>
      <c r="G34" s="305" t="s">
        <v>454</v>
      </c>
      <c r="H34" s="302"/>
      <c r="I34" s="302"/>
      <c r="J34" s="302"/>
      <c r="K34" s="302"/>
      <c r="L34" s="240">
        <v>40.700000000000003</v>
      </c>
      <c r="M34" s="240">
        <v>9</v>
      </c>
      <c r="N34" s="223">
        <v>6.23</v>
      </c>
      <c r="O34" s="223">
        <v>3.3</v>
      </c>
      <c r="P34" s="223">
        <v>412.9</v>
      </c>
      <c r="Q34" s="414">
        <v>249.5</v>
      </c>
      <c r="R34" s="223" t="s">
        <v>941</v>
      </c>
      <c r="S34" s="223">
        <v>198.15</v>
      </c>
      <c r="T34" s="297"/>
    </row>
    <row r="35" spans="1:20" hidden="1">
      <c r="A35" s="384" t="s">
        <v>897</v>
      </c>
      <c r="B35" s="298"/>
      <c r="C35" s="299"/>
      <c r="D35" s="304"/>
      <c r="E35" s="304"/>
      <c r="F35" s="304"/>
      <c r="G35" s="305"/>
      <c r="H35" s="302"/>
      <c r="I35" s="302"/>
      <c r="J35" s="302"/>
      <c r="K35" s="302"/>
      <c r="L35" s="240"/>
      <c r="M35" s="238">
        <v>5.6680000000000001</v>
      </c>
      <c r="N35" s="253">
        <f>3.4/7*12</f>
        <v>5.8285714285714283</v>
      </c>
      <c r="O35" s="229">
        <f>3.4/7*12</f>
        <v>5.8285714285714283</v>
      </c>
      <c r="P35" s="251"/>
      <c r="Q35" s="251"/>
      <c r="R35" s="251" t="e">
        <f>R34/8*12</f>
        <v>#VALUE!</v>
      </c>
      <c r="S35" s="251"/>
      <c r="T35" s="297"/>
    </row>
    <row r="36" spans="1:20" hidden="1">
      <c r="A36" s="384"/>
      <c r="B36" s="298"/>
      <c r="C36" s="299"/>
      <c r="D36" s="304"/>
      <c r="E36" s="304"/>
      <c r="F36" s="304"/>
      <c r="G36" s="305"/>
      <c r="H36" s="302"/>
      <c r="I36" s="302"/>
      <c r="J36" s="302"/>
      <c r="K36" s="302"/>
      <c r="L36" s="240"/>
      <c r="M36" s="240"/>
      <c r="N36" s="240">
        <f>3.6/7*12</f>
        <v>6.1714285714285726</v>
      </c>
      <c r="O36" s="240">
        <f>N34*O37/100*O38/100</f>
        <v>0</v>
      </c>
      <c r="P36" s="223"/>
      <c r="Q36" s="223"/>
      <c r="R36" s="223">
        <v>138.30000000000001</v>
      </c>
      <c r="S36" s="223"/>
      <c r="T36" s="297"/>
    </row>
    <row r="37" spans="1:20">
      <c r="A37" s="384"/>
      <c r="B37" s="298" t="s">
        <v>677</v>
      </c>
      <c r="C37" s="299">
        <v>1</v>
      </c>
      <c r="D37" s="304"/>
      <c r="E37" s="304"/>
      <c r="F37" s="304"/>
      <c r="G37" s="305" t="s">
        <v>453</v>
      </c>
      <c r="H37" s="302"/>
      <c r="I37" s="302"/>
      <c r="J37" s="302"/>
      <c r="K37" s="302"/>
      <c r="L37" s="240"/>
      <c r="M37" s="240"/>
      <c r="N37" s="254">
        <v>85.3</v>
      </c>
      <c r="O37" s="243">
        <v>89</v>
      </c>
      <c r="P37" s="223"/>
      <c r="Q37" s="223">
        <v>60.7</v>
      </c>
      <c r="R37" s="223">
        <v>83.7</v>
      </c>
      <c r="S37" s="223">
        <v>83</v>
      </c>
      <c r="T37" s="297"/>
    </row>
    <row r="38" spans="1:20">
      <c r="A38" s="384"/>
      <c r="B38" s="298" t="s">
        <v>800</v>
      </c>
      <c r="C38" s="299">
        <v>1</v>
      </c>
      <c r="D38" s="304"/>
      <c r="E38" s="304"/>
      <c r="F38" s="304"/>
      <c r="G38" s="305" t="s">
        <v>455</v>
      </c>
      <c r="H38" s="302"/>
      <c r="I38" s="302"/>
      <c r="J38" s="302"/>
      <c r="K38" s="302"/>
      <c r="L38" s="240"/>
      <c r="M38" s="240"/>
      <c r="N38" s="240"/>
      <c r="O38" s="240"/>
      <c r="P38" s="223"/>
      <c r="Q38" s="223"/>
      <c r="R38" s="223" t="s">
        <v>845</v>
      </c>
      <c r="S38" s="223">
        <v>104</v>
      </c>
      <c r="T38" s="297"/>
    </row>
    <row r="39" spans="1:20" ht="15" customHeight="1">
      <c r="A39" s="463" t="s">
        <v>920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5"/>
      <c r="T39" s="297"/>
    </row>
    <row r="40" spans="1:20" ht="26.25" customHeight="1">
      <c r="A40" s="382" t="s">
        <v>801</v>
      </c>
      <c r="B40" s="298" t="s">
        <v>676</v>
      </c>
      <c r="C40" s="299">
        <v>1</v>
      </c>
      <c r="D40" s="304"/>
      <c r="E40" s="304"/>
      <c r="F40" s="304"/>
      <c r="G40" s="305" t="s">
        <v>454</v>
      </c>
      <c r="H40" s="302"/>
      <c r="I40" s="302"/>
      <c r="J40" s="302"/>
      <c r="K40" s="302"/>
      <c r="L40" s="240">
        <v>156.19999999999999</v>
      </c>
      <c r="M40" s="240">
        <v>189</v>
      </c>
      <c r="N40" s="240">
        <v>223.03</v>
      </c>
      <c r="O40" s="240">
        <v>201.8</v>
      </c>
      <c r="P40" s="223">
        <v>215</v>
      </c>
      <c r="Q40" s="414">
        <v>204.4</v>
      </c>
      <c r="R40" s="223">
        <v>142.9</v>
      </c>
      <c r="S40" s="223">
        <v>223.12</v>
      </c>
      <c r="T40" s="297"/>
    </row>
    <row r="41" spans="1:20" hidden="1">
      <c r="A41" s="384" t="s">
        <v>897</v>
      </c>
      <c r="B41" s="298"/>
      <c r="C41" s="299"/>
      <c r="D41" s="304"/>
      <c r="E41" s="304"/>
      <c r="F41" s="304"/>
      <c r="G41" s="305"/>
      <c r="H41" s="302"/>
      <c r="I41" s="302"/>
      <c r="J41" s="302"/>
      <c r="K41" s="302"/>
      <c r="L41" s="240"/>
      <c r="M41" s="238">
        <v>136.87899999999999</v>
      </c>
      <c r="N41" s="238">
        <f>114.3/7*12</f>
        <v>195.94285714285715</v>
      </c>
      <c r="O41" s="222">
        <f>137.2/7*12</f>
        <v>235.2</v>
      </c>
      <c r="P41" s="223"/>
      <c r="Q41" s="223"/>
      <c r="R41" s="223"/>
      <c r="S41" s="223"/>
      <c r="T41" s="297"/>
    </row>
    <row r="42" spans="1:20" hidden="1">
      <c r="A42" s="382"/>
      <c r="B42" s="298"/>
      <c r="C42" s="299"/>
      <c r="D42" s="304"/>
      <c r="E42" s="304"/>
      <c r="F42" s="304"/>
      <c r="G42" s="305"/>
      <c r="H42" s="302"/>
      <c r="I42" s="302"/>
      <c r="J42" s="302"/>
      <c r="K42" s="302"/>
      <c r="L42" s="240"/>
      <c r="M42" s="240">
        <f>M41/9*12</f>
        <v>182.50533333333331</v>
      </c>
      <c r="N42" s="223">
        <f>N41/9*12</f>
        <v>261.25714285714287</v>
      </c>
      <c r="O42" s="240"/>
      <c r="P42" s="223"/>
      <c r="Q42" s="223"/>
      <c r="R42" s="223"/>
      <c r="S42" s="223"/>
      <c r="T42" s="297"/>
    </row>
    <row r="43" spans="1:20" ht="14.25" hidden="1" customHeight="1">
      <c r="A43" s="382"/>
      <c r="B43" s="298"/>
      <c r="C43" s="299"/>
      <c r="D43" s="304"/>
      <c r="E43" s="304"/>
      <c r="F43" s="304"/>
      <c r="G43" s="305"/>
      <c r="H43" s="302"/>
      <c r="I43" s="302"/>
      <c r="J43" s="302"/>
      <c r="K43" s="302"/>
      <c r="L43" s="240"/>
      <c r="M43" s="240">
        <f>M40/L40*100</f>
        <v>120.99871959026889</v>
      </c>
      <c r="N43" s="240">
        <f>N40/M40*100</f>
        <v>118.005291005291</v>
      </c>
      <c r="O43" s="240">
        <f>O40/N40*100</f>
        <v>90.481101197148377</v>
      </c>
      <c r="P43" s="223"/>
      <c r="Q43" s="223">
        <v>21.9</v>
      </c>
      <c r="R43" s="223"/>
      <c r="S43" s="223">
        <v>22.8</v>
      </c>
      <c r="T43" s="297"/>
    </row>
    <row r="44" spans="1:20">
      <c r="A44" s="382"/>
      <c r="B44" s="298" t="s">
        <v>677</v>
      </c>
      <c r="C44" s="299">
        <v>1</v>
      </c>
      <c r="D44" s="304"/>
      <c r="E44" s="304"/>
      <c r="F44" s="304"/>
      <c r="G44" s="305" t="s">
        <v>453</v>
      </c>
      <c r="H44" s="302"/>
      <c r="I44" s="302"/>
      <c r="J44" s="302"/>
      <c r="K44" s="302"/>
      <c r="L44" s="240"/>
      <c r="M44" s="240"/>
      <c r="N44" s="240">
        <v>116.7</v>
      </c>
      <c r="O44" s="240">
        <v>90</v>
      </c>
      <c r="P44" s="223"/>
      <c r="Q44" s="223">
        <v>99.7</v>
      </c>
      <c r="R44" s="223">
        <v>98.4</v>
      </c>
      <c r="S44" s="223">
        <v>98</v>
      </c>
      <c r="T44" s="297"/>
    </row>
    <row r="45" spans="1:20">
      <c r="A45" s="382"/>
      <c r="B45" s="298" t="s">
        <v>800</v>
      </c>
      <c r="C45" s="299">
        <v>1</v>
      </c>
      <c r="D45" s="304"/>
      <c r="E45" s="304"/>
      <c r="F45" s="304"/>
      <c r="G45" s="305" t="s">
        <v>455</v>
      </c>
      <c r="H45" s="302"/>
      <c r="I45" s="302"/>
      <c r="J45" s="302"/>
      <c r="K45" s="302"/>
      <c r="L45" s="240"/>
      <c r="M45" s="240"/>
      <c r="N45" s="240"/>
      <c r="O45" s="240"/>
      <c r="P45" s="223"/>
      <c r="Q45" s="223"/>
      <c r="R45" s="223" t="s">
        <v>845</v>
      </c>
      <c r="S45" s="223">
        <v>104.2</v>
      </c>
      <c r="T45" s="297"/>
    </row>
    <row r="46" spans="1:20" ht="14.25" customHeight="1">
      <c r="A46" s="463" t="s">
        <v>921</v>
      </c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5"/>
      <c r="T46" s="297"/>
    </row>
    <row r="47" spans="1:20" ht="24">
      <c r="A47" s="382" t="s">
        <v>801</v>
      </c>
      <c r="B47" s="298" t="s">
        <v>676</v>
      </c>
      <c r="C47" s="299"/>
      <c r="D47" s="304"/>
      <c r="E47" s="304"/>
      <c r="F47" s="304"/>
      <c r="G47" s="305"/>
      <c r="H47" s="302"/>
      <c r="I47" s="302"/>
      <c r="J47" s="302"/>
      <c r="K47" s="302"/>
      <c r="L47" s="223" t="s">
        <v>845</v>
      </c>
      <c r="M47" s="223" t="s">
        <v>563</v>
      </c>
      <c r="N47" s="223" t="s">
        <v>563</v>
      </c>
      <c r="O47" s="223">
        <f>0.4+0.78</f>
        <v>1.1800000000000002</v>
      </c>
      <c r="P47" s="223"/>
      <c r="Q47" s="224">
        <v>46.3</v>
      </c>
      <c r="R47" s="223" t="s">
        <v>941</v>
      </c>
      <c r="S47" s="223">
        <v>46.3</v>
      </c>
      <c r="T47" s="297"/>
    </row>
    <row r="48" spans="1:20" hidden="1">
      <c r="A48" s="382" t="s">
        <v>938</v>
      </c>
      <c r="B48" s="298"/>
      <c r="C48" s="299"/>
      <c r="D48" s="304"/>
      <c r="E48" s="304"/>
      <c r="F48" s="304"/>
      <c r="G48" s="305"/>
      <c r="H48" s="302"/>
      <c r="I48" s="302"/>
      <c r="J48" s="302"/>
      <c r="K48" s="302"/>
      <c r="L48" s="223"/>
      <c r="M48" s="223"/>
      <c r="N48" s="223"/>
      <c r="O48" s="223"/>
      <c r="P48" s="223"/>
      <c r="Q48" s="407">
        <v>21.9</v>
      </c>
      <c r="R48" s="223">
        <v>13.35</v>
      </c>
      <c r="S48" s="223">
        <v>22.8</v>
      </c>
      <c r="T48" s="297"/>
    </row>
    <row r="49" spans="1:20" hidden="1">
      <c r="A49" s="382"/>
      <c r="B49" s="298"/>
      <c r="C49" s="299"/>
      <c r="D49" s="304"/>
      <c r="E49" s="304"/>
      <c r="F49" s="304"/>
      <c r="G49" s="305"/>
      <c r="H49" s="302"/>
      <c r="I49" s="302"/>
      <c r="J49" s="302"/>
      <c r="K49" s="302"/>
      <c r="L49" s="223"/>
      <c r="M49" s="223"/>
      <c r="N49" s="223"/>
      <c r="O49" s="223"/>
      <c r="P49" s="223"/>
      <c r="Q49" s="407"/>
      <c r="R49" s="223"/>
      <c r="S49" s="223">
        <v>99</v>
      </c>
      <c r="T49" s="297"/>
    </row>
    <row r="50" spans="1:20">
      <c r="A50" s="382"/>
      <c r="B50" s="298" t="s">
        <v>677</v>
      </c>
      <c r="C50" s="299"/>
      <c r="D50" s="304"/>
      <c r="E50" s="304"/>
      <c r="F50" s="304"/>
      <c r="G50" s="305"/>
      <c r="H50" s="302"/>
      <c r="I50" s="302"/>
      <c r="J50" s="302"/>
      <c r="K50" s="302"/>
      <c r="L50" s="240"/>
      <c r="M50" s="240"/>
      <c r="N50" s="223"/>
      <c r="O50" s="240">
        <f>(O47/113.2*100)/(2.96+0.48)*100</f>
        <v>30.302407757416393</v>
      </c>
      <c r="P50" s="223"/>
      <c r="Q50" s="223">
        <v>99.5</v>
      </c>
      <c r="R50" s="223">
        <v>91.6</v>
      </c>
      <c r="S50" s="223">
        <v>93.49</v>
      </c>
      <c r="T50" s="297"/>
    </row>
    <row r="51" spans="1:20">
      <c r="A51" s="382"/>
      <c r="B51" s="298" t="s">
        <v>800</v>
      </c>
      <c r="C51" s="299"/>
      <c r="D51" s="304"/>
      <c r="E51" s="304"/>
      <c r="F51" s="304"/>
      <c r="G51" s="305"/>
      <c r="H51" s="302"/>
      <c r="I51" s="302"/>
      <c r="J51" s="302"/>
      <c r="K51" s="302"/>
      <c r="L51" s="240"/>
      <c r="M51" s="240"/>
      <c r="N51" s="240"/>
      <c r="O51" s="240"/>
      <c r="P51" s="223"/>
      <c r="Q51" s="223"/>
      <c r="R51" s="223" t="s">
        <v>845</v>
      </c>
      <c r="S51" s="223">
        <v>104.7</v>
      </c>
      <c r="T51" s="297"/>
    </row>
    <row r="52" spans="1:20" ht="14.25">
      <c r="A52" s="463" t="s">
        <v>902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5"/>
      <c r="T52" s="297"/>
    </row>
    <row r="53" spans="1:20" hidden="1">
      <c r="A53" s="382" t="s">
        <v>753</v>
      </c>
      <c r="B53" s="298" t="s">
        <v>276</v>
      </c>
      <c r="C53" s="299">
        <v>1</v>
      </c>
      <c r="D53" s="304"/>
      <c r="E53" s="304"/>
      <c r="F53" s="304"/>
      <c r="G53" s="305" t="s">
        <v>454</v>
      </c>
      <c r="H53" s="302"/>
      <c r="I53" s="302"/>
      <c r="J53" s="302"/>
      <c r="K53" s="302"/>
      <c r="L53" s="223">
        <v>41.3</v>
      </c>
      <c r="M53" s="223">
        <v>26.5</v>
      </c>
      <c r="N53" s="223">
        <v>35.612000000000002</v>
      </c>
      <c r="O53" s="223" t="s">
        <v>845</v>
      </c>
      <c r="P53" s="223" t="s">
        <v>845</v>
      </c>
      <c r="Q53" s="223" t="s">
        <v>845</v>
      </c>
      <c r="R53" s="223" t="s">
        <v>845</v>
      </c>
      <c r="S53" s="223" t="s">
        <v>845</v>
      </c>
      <c r="T53" s="297"/>
    </row>
    <row r="54" spans="1:20" hidden="1">
      <c r="A54" s="382"/>
      <c r="B54" s="298" t="s">
        <v>677</v>
      </c>
      <c r="C54" s="299">
        <v>1</v>
      </c>
      <c r="D54" s="304"/>
      <c r="E54" s="304"/>
      <c r="F54" s="304"/>
      <c r="G54" s="305" t="s">
        <v>453</v>
      </c>
      <c r="H54" s="302"/>
      <c r="I54" s="302"/>
      <c r="J54" s="302"/>
      <c r="K54" s="302"/>
      <c r="L54" s="223">
        <f>L53-L65</f>
        <v>23.299999999999997</v>
      </c>
      <c r="M54" s="223">
        <f>M53-M67</f>
        <v>25.569199999999999</v>
      </c>
      <c r="N54" s="223">
        <v>102.9</v>
      </c>
      <c r="O54" s="223"/>
      <c r="P54" s="223"/>
      <c r="Q54" s="223"/>
      <c r="R54" s="223"/>
      <c r="S54" s="223"/>
      <c r="T54" s="297"/>
    </row>
    <row r="55" spans="1:20" hidden="1">
      <c r="A55" s="382"/>
      <c r="B55" s="298" t="s">
        <v>800</v>
      </c>
      <c r="C55" s="299">
        <v>1</v>
      </c>
      <c r="D55" s="304"/>
      <c r="E55" s="304"/>
      <c r="F55" s="304"/>
      <c r="G55" s="305" t="s">
        <v>455</v>
      </c>
      <c r="H55" s="302"/>
      <c r="I55" s="302"/>
      <c r="J55" s="302"/>
      <c r="K55" s="302"/>
      <c r="L55" s="223"/>
      <c r="M55" s="223"/>
      <c r="N55" s="223"/>
      <c r="O55" s="223"/>
      <c r="P55" s="223"/>
      <c r="Q55" s="223"/>
      <c r="R55" s="223"/>
      <c r="S55" s="223"/>
      <c r="T55" s="297"/>
    </row>
    <row r="56" spans="1:20" hidden="1">
      <c r="A56" s="384" t="s">
        <v>251</v>
      </c>
      <c r="B56" s="298"/>
      <c r="C56" s="299"/>
      <c r="D56" s="304"/>
      <c r="E56" s="304"/>
      <c r="F56" s="304"/>
      <c r="G56" s="305"/>
      <c r="H56" s="302"/>
      <c r="I56" s="302"/>
      <c r="J56" s="302"/>
      <c r="K56" s="302"/>
      <c r="L56" s="223"/>
      <c r="M56" s="223"/>
      <c r="N56" s="223"/>
      <c r="O56" s="223"/>
      <c r="P56" s="223"/>
      <c r="Q56" s="223"/>
      <c r="R56" s="223"/>
      <c r="S56" s="223"/>
      <c r="T56" s="297"/>
    </row>
    <row r="57" spans="1:20" hidden="1">
      <c r="A57" s="387" t="s">
        <v>756</v>
      </c>
      <c r="B57" s="298" t="s">
        <v>276</v>
      </c>
      <c r="C57" s="299">
        <v>1</v>
      </c>
      <c r="D57" s="304"/>
      <c r="E57" s="304"/>
      <c r="F57" s="304"/>
      <c r="G57" s="305" t="s">
        <v>454</v>
      </c>
      <c r="H57" s="302"/>
      <c r="I57" s="302"/>
      <c r="J57" s="302"/>
      <c r="K57" s="302"/>
      <c r="L57" s="223">
        <v>17.7</v>
      </c>
      <c r="M57" s="223">
        <v>14.1</v>
      </c>
      <c r="N57" s="223">
        <v>18.382999999999999</v>
      </c>
      <c r="O57" s="223" t="s">
        <v>845</v>
      </c>
      <c r="P57" s="223" t="s">
        <v>845</v>
      </c>
      <c r="Q57" s="223" t="s">
        <v>845</v>
      </c>
      <c r="R57" s="223" t="s">
        <v>845</v>
      </c>
      <c r="S57" s="223" t="s">
        <v>845</v>
      </c>
      <c r="T57" s="297"/>
    </row>
    <row r="58" spans="1:20" hidden="1">
      <c r="A58" s="387"/>
      <c r="B58" s="298" t="s">
        <v>677</v>
      </c>
      <c r="C58" s="299">
        <v>1</v>
      </c>
      <c r="D58" s="304"/>
      <c r="E58" s="304"/>
      <c r="F58" s="304"/>
      <c r="G58" s="305" t="s">
        <v>453</v>
      </c>
      <c r="H58" s="302"/>
      <c r="I58" s="302"/>
      <c r="J58" s="302"/>
      <c r="K58" s="302"/>
      <c r="L58" s="223"/>
      <c r="M58" s="223"/>
      <c r="N58" s="223">
        <v>82.6</v>
      </c>
      <c r="O58" s="223"/>
      <c r="P58" s="223"/>
      <c r="Q58" s="223"/>
      <c r="R58" s="223"/>
      <c r="S58" s="223"/>
      <c r="T58" s="297"/>
    </row>
    <row r="59" spans="1:20" hidden="1">
      <c r="A59" s="387"/>
      <c r="B59" s="298" t="s">
        <v>800</v>
      </c>
      <c r="C59" s="299">
        <v>1</v>
      </c>
      <c r="D59" s="304"/>
      <c r="E59" s="304"/>
      <c r="F59" s="304"/>
      <c r="G59" s="305" t="s">
        <v>455</v>
      </c>
      <c r="H59" s="302"/>
      <c r="I59" s="302"/>
      <c r="J59" s="302"/>
      <c r="K59" s="302"/>
      <c r="L59" s="223"/>
      <c r="M59" s="223"/>
      <c r="N59" s="223"/>
      <c r="O59" s="223"/>
      <c r="P59" s="223"/>
      <c r="Q59" s="223"/>
      <c r="R59" s="223"/>
      <c r="S59" s="223"/>
      <c r="T59" s="297"/>
    </row>
    <row r="60" spans="1:20" hidden="1">
      <c r="A60" s="387" t="s">
        <v>759</v>
      </c>
      <c r="B60" s="298" t="s">
        <v>276</v>
      </c>
      <c r="C60" s="299">
        <v>1</v>
      </c>
      <c r="D60" s="304"/>
      <c r="E60" s="304"/>
      <c r="F60" s="304"/>
      <c r="G60" s="305" t="s">
        <v>454</v>
      </c>
      <c r="H60" s="302"/>
      <c r="I60" s="302"/>
      <c r="J60" s="302"/>
      <c r="K60" s="302"/>
      <c r="L60" s="223">
        <v>23.7</v>
      </c>
      <c r="M60" s="223">
        <v>12.4</v>
      </c>
      <c r="N60" s="223">
        <v>17.228999999999999</v>
      </c>
      <c r="O60" s="223" t="s">
        <v>845</v>
      </c>
      <c r="P60" s="223" t="s">
        <v>845</v>
      </c>
      <c r="Q60" s="223" t="s">
        <v>845</v>
      </c>
      <c r="R60" s="223" t="s">
        <v>845</v>
      </c>
      <c r="S60" s="223" t="s">
        <v>845</v>
      </c>
      <c r="T60" s="297"/>
    </row>
    <row r="61" spans="1:20" hidden="1">
      <c r="A61" s="387"/>
      <c r="B61" s="298" t="s">
        <v>677</v>
      </c>
      <c r="C61" s="299">
        <v>1</v>
      </c>
      <c r="D61" s="304"/>
      <c r="E61" s="304"/>
      <c r="F61" s="304"/>
      <c r="G61" s="305" t="s">
        <v>453</v>
      </c>
      <c r="H61" s="302"/>
      <c r="I61" s="302"/>
      <c r="J61" s="302"/>
      <c r="K61" s="302"/>
      <c r="L61" s="240"/>
      <c r="M61" s="240"/>
      <c r="N61" s="240">
        <v>127.9</v>
      </c>
      <c r="O61" s="240"/>
      <c r="P61" s="223"/>
      <c r="Q61" s="223"/>
      <c r="R61" s="223"/>
      <c r="S61" s="223"/>
      <c r="T61" s="297"/>
    </row>
    <row r="62" spans="1:20" hidden="1">
      <c r="A62" s="387"/>
      <c r="B62" s="298" t="s">
        <v>800</v>
      </c>
      <c r="C62" s="299">
        <v>1</v>
      </c>
      <c r="D62" s="304"/>
      <c r="E62" s="304"/>
      <c r="F62" s="304"/>
      <c r="G62" s="305" t="s">
        <v>455</v>
      </c>
      <c r="H62" s="302"/>
      <c r="I62" s="302"/>
      <c r="J62" s="302"/>
      <c r="K62" s="302"/>
      <c r="L62" s="240"/>
      <c r="M62" s="240"/>
      <c r="N62" s="240"/>
      <c r="O62" s="240"/>
      <c r="P62" s="223"/>
      <c r="Q62" s="223"/>
      <c r="R62" s="223"/>
      <c r="S62" s="223"/>
      <c r="T62" s="297"/>
    </row>
    <row r="63" spans="1:20" ht="13.5" hidden="1" customHeight="1">
      <c r="A63" s="489" t="s">
        <v>884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297"/>
    </row>
    <row r="64" spans="1:20" hidden="1">
      <c r="A64" s="388" t="s">
        <v>762</v>
      </c>
      <c r="B64" s="298"/>
      <c r="C64" s="299"/>
      <c r="D64" s="304"/>
      <c r="E64" s="304"/>
      <c r="F64" s="304"/>
      <c r="G64" s="305"/>
      <c r="H64" s="302"/>
      <c r="I64" s="302"/>
      <c r="J64" s="302"/>
      <c r="K64" s="302"/>
      <c r="L64" s="240"/>
      <c r="M64" s="240"/>
      <c r="N64" s="240"/>
      <c r="O64" s="240"/>
      <c r="P64" s="223"/>
      <c r="Q64" s="223"/>
      <c r="R64" s="223"/>
      <c r="S64" s="223"/>
      <c r="T64" s="297"/>
    </row>
    <row r="65" spans="1:20" hidden="1">
      <c r="A65" s="384" t="s">
        <v>763</v>
      </c>
      <c r="B65" s="298" t="s">
        <v>676</v>
      </c>
      <c r="C65" s="299">
        <v>1</v>
      </c>
      <c r="D65" s="304"/>
      <c r="E65" s="304"/>
      <c r="F65" s="304"/>
      <c r="G65" s="305" t="s">
        <v>454</v>
      </c>
      <c r="H65" s="302"/>
      <c r="I65" s="302"/>
      <c r="J65" s="302"/>
      <c r="K65" s="302"/>
      <c r="L65" s="223">
        <v>18</v>
      </c>
      <c r="M65" s="240">
        <v>0</v>
      </c>
      <c r="N65" s="240">
        <v>0</v>
      </c>
      <c r="O65" s="240">
        <v>0</v>
      </c>
      <c r="P65" s="223"/>
      <c r="Q65" s="223">
        <v>0</v>
      </c>
      <c r="R65" s="223">
        <v>0</v>
      </c>
      <c r="S65" s="223">
        <v>0</v>
      </c>
      <c r="T65" s="297"/>
    </row>
    <row r="66" spans="1:20" hidden="1">
      <c r="A66" s="384"/>
      <c r="B66" s="298" t="s">
        <v>677</v>
      </c>
      <c r="C66" s="299">
        <v>1</v>
      </c>
      <c r="D66" s="304"/>
      <c r="E66" s="304"/>
      <c r="F66" s="304"/>
      <c r="G66" s="305" t="s">
        <v>453</v>
      </c>
      <c r="H66" s="302"/>
      <c r="I66" s="302"/>
      <c r="J66" s="302"/>
      <c r="K66" s="302"/>
      <c r="L66" s="223">
        <v>64.900000000000006</v>
      </c>
      <c r="M66" s="240"/>
      <c r="N66" s="240"/>
      <c r="O66" s="240"/>
      <c r="P66" s="223"/>
      <c r="Q66" s="223"/>
      <c r="R66" s="223"/>
      <c r="S66" s="223"/>
      <c r="T66" s="297"/>
    </row>
    <row r="67" spans="1:20" ht="27" customHeight="1">
      <c r="A67" s="384" t="s">
        <v>765</v>
      </c>
      <c r="B67" s="298" t="s">
        <v>676</v>
      </c>
      <c r="C67" s="311">
        <v>1</v>
      </c>
      <c r="D67" s="304"/>
      <c r="E67" s="304"/>
      <c r="F67" s="304"/>
      <c r="G67" s="305" t="s">
        <v>454</v>
      </c>
      <c r="H67" s="312"/>
      <c r="I67" s="312"/>
      <c r="J67" s="312"/>
      <c r="K67" s="312"/>
      <c r="L67" s="258">
        <v>0.45122099999999998</v>
      </c>
      <c r="M67" s="258">
        <f>0.8825+0.0483</f>
        <v>0.93079999999999996</v>
      </c>
      <c r="N67" s="258">
        <f>N68+N69+N70</f>
        <v>4.8</v>
      </c>
      <c r="O67" s="258">
        <f>O68+O69+O70</f>
        <v>8.3000000000000007</v>
      </c>
      <c r="P67" s="223"/>
      <c r="Q67" s="223">
        <f>Q68+Q69</f>
        <v>3.9</v>
      </c>
      <c r="R67" s="223">
        <f>0.079/6*8+2.9</f>
        <v>3.0053333333333332</v>
      </c>
      <c r="S67" s="223">
        <f>S68+S69</f>
        <v>4.5500000000000007</v>
      </c>
      <c r="T67" s="297"/>
    </row>
    <row r="68" spans="1:20" ht="15" hidden="1" customHeight="1">
      <c r="A68" s="384" t="s">
        <v>935</v>
      </c>
      <c r="B68" s="298"/>
      <c r="C68" s="311"/>
      <c r="D68" s="304"/>
      <c r="E68" s="304"/>
      <c r="F68" s="304"/>
      <c r="G68" s="305"/>
      <c r="H68" s="312"/>
      <c r="I68" s="312"/>
      <c r="J68" s="312"/>
      <c r="K68" s="312"/>
      <c r="L68" s="258"/>
      <c r="M68" s="259"/>
      <c r="N68" s="258">
        <v>0.1</v>
      </c>
      <c r="O68" s="258">
        <v>1.5</v>
      </c>
      <c r="P68" s="223"/>
      <c r="Q68" s="223">
        <v>0</v>
      </c>
      <c r="R68" s="223">
        <f>0.079/6*8</f>
        <v>0.10533333333333333</v>
      </c>
      <c r="S68" s="223">
        <v>0.15</v>
      </c>
      <c r="T68" s="297"/>
    </row>
    <row r="69" spans="1:20" ht="15" hidden="1" customHeight="1">
      <c r="A69" s="384" t="s">
        <v>870</v>
      </c>
      <c r="B69" s="298"/>
      <c r="C69" s="311"/>
      <c r="D69" s="304"/>
      <c r="E69" s="304"/>
      <c r="F69" s="304"/>
      <c r="G69" s="305"/>
      <c r="H69" s="312"/>
      <c r="I69" s="312"/>
      <c r="J69" s="312"/>
      <c r="K69" s="312"/>
      <c r="L69" s="258"/>
      <c r="M69" s="259"/>
      <c r="N69" s="258">
        <v>1.8</v>
      </c>
      <c r="O69" s="258">
        <v>2.2999999999999998</v>
      </c>
      <c r="P69" s="223"/>
      <c r="Q69" s="223">
        <v>3.9</v>
      </c>
      <c r="R69" s="223">
        <v>2.9</v>
      </c>
      <c r="S69" s="223">
        <v>4.4000000000000004</v>
      </c>
      <c r="T69" s="297"/>
    </row>
    <row r="70" spans="1:20" ht="12.75" hidden="1" customHeight="1">
      <c r="A70" s="384"/>
      <c r="B70" s="298"/>
      <c r="C70" s="311"/>
      <c r="D70" s="304"/>
      <c r="E70" s="304"/>
      <c r="F70" s="304"/>
      <c r="G70" s="305"/>
      <c r="H70" s="312"/>
      <c r="I70" s="312"/>
      <c r="J70" s="312"/>
      <c r="K70" s="312"/>
      <c r="L70" s="258"/>
      <c r="M70" s="259"/>
      <c r="N70" s="258">
        <v>2.9</v>
      </c>
      <c r="O70" s="258">
        <v>4.5</v>
      </c>
      <c r="P70" s="223"/>
      <c r="Q70" s="223"/>
      <c r="R70" s="223"/>
      <c r="S70" s="223"/>
      <c r="T70" s="297"/>
    </row>
    <row r="71" spans="1:20" ht="25.5" customHeight="1">
      <c r="A71" s="384"/>
      <c r="B71" s="298" t="s">
        <v>677</v>
      </c>
      <c r="C71" s="311">
        <v>1</v>
      </c>
      <c r="D71" s="304"/>
      <c r="E71" s="304"/>
      <c r="F71" s="304"/>
      <c r="G71" s="305" t="s">
        <v>453</v>
      </c>
      <c r="H71" s="312"/>
      <c r="I71" s="312"/>
      <c r="J71" s="312"/>
      <c r="K71" s="312"/>
      <c r="L71" s="259"/>
      <c r="M71" s="259"/>
      <c r="N71" s="259"/>
      <c r="O71" s="259"/>
      <c r="P71" s="223"/>
      <c r="Q71" s="223"/>
      <c r="R71" s="223" t="s">
        <v>845</v>
      </c>
      <c r="S71" s="223">
        <v>103.86</v>
      </c>
      <c r="T71" s="297"/>
    </row>
    <row r="72" spans="1:20" ht="15" hidden="1" customHeight="1">
      <c r="A72" s="480" t="s">
        <v>889</v>
      </c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1"/>
      <c r="M72" s="481"/>
      <c r="N72" s="481"/>
      <c r="O72" s="480"/>
      <c r="P72" s="480"/>
      <c r="Q72" s="480"/>
      <c r="R72" s="480"/>
      <c r="S72" s="480"/>
      <c r="T72" s="297"/>
    </row>
    <row r="73" spans="1:20" hidden="1">
      <c r="A73" s="382" t="s">
        <v>890</v>
      </c>
      <c r="B73" s="298" t="s">
        <v>276</v>
      </c>
      <c r="C73" s="311">
        <v>1</v>
      </c>
      <c r="D73" s="304"/>
      <c r="E73" s="304"/>
      <c r="F73" s="304"/>
      <c r="G73" s="305" t="s">
        <v>454</v>
      </c>
      <c r="H73" s="312"/>
      <c r="I73" s="312"/>
      <c r="J73" s="312"/>
      <c r="K73" s="312"/>
      <c r="L73" s="260">
        <v>358.3</v>
      </c>
      <c r="M73" s="260">
        <v>195.2</v>
      </c>
      <c r="N73" s="260">
        <v>267.8</v>
      </c>
      <c r="O73" s="415">
        <v>333.04300000000001</v>
      </c>
      <c r="P73" s="223"/>
      <c r="Q73" s="223">
        <f>O73*Q74/100*Q75/100</f>
        <v>392.07620392199999</v>
      </c>
      <c r="R73" s="223"/>
      <c r="S73" s="223">
        <f>Q73*S75/100*S74/100</f>
        <v>394.25528504815759</v>
      </c>
      <c r="T73" s="297"/>
    </row>
    <row r="74" spans="1:20" hidden="1">
      <c r="A74" s="382"/>
      <c r="B74" s="298" t="s">
        <v>677</v>
      </c>
      <c r="C74" s="311">
        <v>1</v>
      </c>
      <c r="D74" s="304"/>
      <c r="E74" s="304"/>
      <c r="F74" s="304"/>
      <c r="G74" s="305" t="s">
        <v>453</v>
      </c>
      <c r="H74" s="312"/>
      <c r="I74" s="312"/>
      <c r="J74" s="312"/>
      <c r="K74" s="312"/>
      <c r="L74" s="258"/>
      <c r="M74" s="258"/>
      <c r="N74" s="258"/>
      <c r="O74" s="258">
        <v>221</v>
      </c>
      <c r="P74" s="223"/>
      <c r="Q74" s="223">
        <v>111.8</v>
      </c>
      <c r="R74" s="223"/>
      <c r="S74" s="223">
        <v>94.33</v>
      </c>
      <c r="T74" s="297"/>
    </row>
    <row r="75" spans="1:20" hidden="1">
      <c r="A75" s="389"/>
      <c r="B75" s="423" t="s">
        <v>800</v>
      </c>
      <c r="C75" s="313">
        <v>1</v>
      </c>
      <c r="D75" s="314"/>
      <c r="E75" s="314"/>
      <c r="F75" s="314"/>
      <c r="G75" s="315" t="s">
        <v>455</v>
      </c>
      <c r="H75" s="316"/>
      <c r="I75" s="316"/>
      <c r="J75" s="316"/>
      <c r="K75" s="316"/>
      <c r="L75" s="261"/>
      <c r="M75" s="261"/>
      <c r="N75" s="261"/>
      <c r="O75" s="261"/>
      <c r="P75" s="263"/>
      <c r="Q75" s="263">
        <v>105.3</v>
      </c>
      <c r="R75" s="263"/>
      <c r="S75" s="263">
        <v>106.6</v>
      </c>
      <c r="T75" s="297"/>
    </row>
    <row r="76" spans="1:20" ht="18" hidden="1" customHeight="1">
      <c r="A76" s="416" t="s">
        <v>898</v>
      </c>
      <c r="B76" s="424"/>
      <c r="C76" s="317"/>
      <c r="D76" s="318"/>
      <c r="E76" s="318"/>
      <c r="F76" s="318"/>
      <c r="G76" s="319"/>
      <c r="H76" s="320"/>
      <c r="I76" s="320"/>
      <c r="J76" s="320"/>
      <c r="K76" s="320"/>
      <c r="L76" s="262"/>
      <c r="M76" s="262"/>
      <c r="N76" s="262"/>
      <c r="O76" s="262">
        <v>5.0999999999999996</v>
      </c>
      <c r="P76" s="375"/>
      <c r="Q76" s="375">
        <v>7.9</v>
      </c>
      <c r="R76" s="375"/>
      <c r="S76" s="375">
        <v>8</v>
      </c>
      <c r="T76" s="297"/>
    </row>
    <row r="77" spans="1:20" ht="18" hidden="1" customHeight="1">
      <c r="A77" s="382" t="s">
        <v>899</v>
      </c>
      <c r="B77" s="298"/>
      <c r="C77" s="311"/>
      <c r="D77" s="304"/>
      <c r="E77" s="304"/>
      <c r="F77" s="304"/>
      <c r="G77" s="305"/>
      <c r="H77" s="312"/>
      <c r="I77" s="312"/>
      <c r="J77" s="312"/>
      <c r="K77" s="312"/>
      <c r="L77" s="258"/>
      <c r="M77" s="258"/>
      <c r="N77" s="258"/>
      <c r="O77" s="258">
        <v>10.1</v>
      </c>
      <c r="P77" s="223"/>
      <c r="Q77" s="223">
        <v>10</v>
      </c>
      <c r="R77" s="223"/>
      <c r="S77" s="223">
        <v>10</v>
      </c>
      <c r="T77" s="297"/>
    </row>
    <row r="78" spans="1:20" ht="19.5" hidden="1" customHeight="1">
      <c r="A78" s="382"/>
      <c r="B78" s="298"/>
      <c r="C78" s="311"/>
      <c r="D78" s="304"/>
      <c r="E78" s="304"/>
      <c r="F78" s="304"/>
      <c r="G78" s="305"/>
      <c r="H78" s="312"/>
      <c r="I78" s="312"/>
      <c r="J78" s="312"/>
      <c r="K78" s="312"/>
      <c r="L78" s="258"/>
      <c r="M78" s="258"/>
      <c r="N78" s="258"/>
      <c r="O78" s="258">
        <f>SUM(O76:O77)</f>
        <v>15.2</v>
      </c>
      <c r="P78" s="223">
        <f>SUM(P76:P77)</f>
        <v>0</v>
      </c>
      <c r="Q78" s="223">
        <f>SUM(Q76:Q77)</f>
        <v>17.899999999999999</v>
      </c>
      <c r="R78" s="223"/>
      <c r="S78" s="223">
        <f>SUM(S76:S77)</f>
        <v>18</v>
      </c>
      <c r="T78" s="297"/>
    </row>
    <row r="79" spans="1:20" ht="24.75" hidden="1" customHeight="1">
      <c r="A79" s="389"/>
      <c r="B79" s="298" t="s">
        <v>677</v>
      </c>
      <c r="C79" s="313"/>
      <c r="D79" s="314"/>
      <c r="E79" s="314"/>
      <c r="F79" s="314"/>
      <c r="G79" s="315"/>
      <c r="H79" s="316"/>
      <c r="I79" s="316"/>
      <c r="J79" s="316"/>
      <c r="K79" s="316"/>
      <c r="L79" s="261"/>
      <c r="M79" s="261"/>
      <c r="N79" s="261"/>
      <c r="O79" s="261"/>
      <c r="P79" s="263"/>
      <c r="Q79" s="263">
        <f>Q67/O67*100</f>
        <v>46.98795180722891</v>
      </c>
      <c r="R79" s="263" t="e">
        <f>R67/P67*100</f>
        <v>#DIV/0!</v>
      </c>
      <c r="S79" s="263">
        <f>S67/Q67*100/104.2*100</f>
        <v>111.96417146513117</v>
      </c>
      <c r="T79" s="297"/>
    </row>
    <row r="80" spans="1:20" ht="20.25" customHeight="1">
      <c r="A80" s="463" t="s">
        <v>903</v>
      </c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5"/>
      <c r="T80" s="297"/>
    </row>
    <row r="81" spans="1:24" hidden="1">
      <c r="A81" s="382" t="s">
        <v>634</v>
      </c>
      <c r="B81" s="298" t="s">
        <v>777</v>
      </c>
      <c r="C81" s="299">
        <v>1</v>
      </c>
      <c r="D81" s="304"/>
      <c r="E81" s="304"/>
      <c r="F81" s="304"/>
      <c r="G81" s="305" t="s">
        <v>454</v>
      </c>
      <c r="H81" s="302"/>
      <c r="I81" s="302"/>
      <c r="J81" s="302"/>
      <c r="K81" s="302"/>
      <c r="L81" s="224">
        <v>1.075</v>
      </c>
      <c r="M81" s="223">
        <v>0.64500000000000002</v>
      </c>
      <c r="N81" s="223">
        <v>0.63700000000000001</v>
      </c>
      <c r="O81" s="248" t="s">
        <v>845</v>
      </c>
      <c r="P81" s="223"/>
      <c r="Q81" s="223">
        <v>0.64</v>
      </c>
      <c r="R81" s="223"/>
      <c r="S81" s="223">
        <v>0.64</v>
      </c>
      <c r="T81" s="321"/>
    </row>
    <row r="82" spans="1:24" hidden="1">
      <c r="A82" s="382" t="s">
        <v>316</v>
      </c>
      <c r="B82" s="298" t="s">
        <v>777</v>
      </c>
      <c r="C82" s="299">
        <v>1</v>
      </c>
      <c r="D82" s="304"/>
      <c r="E82" s="304"/>
      <c r="F82" s="304"/>
      <c r="G82" s="305" t="s">
        <v>454</v>
      </c>
      <c r="H82" s="302"/>
      <c r="I82" s="302"/>
      <c r="J82" s="302"/>
      <c r="K82" s="302"/>
      <c r="L82" s="224">
        <v>0.125</v>
      </c>
      <c r="M82" s="223">
        <v>8.7999999999999995E-2</v>
      </c>
      <c r="N82" s="223">
        <f>71/1000</f>
        <v>7.0999999999999994E-2</v>
      </c>
      <c r="O82" s="223" t="s">
        <v>845</v>
      </c>
      <c r="P82" s="223"/>
      <c r="Q82" s="223">
        <v>7.0000000000000007E-2</v>
      </c>
      <c r="R82" s="223"/>
      <c r="S82" s="223">
        <v>7.0000000000000007E-2</v>
      </c>
      <c r="T82" s="321"/>
    </row>
    <row r="83" spans="1:24" hidden="1">
      <c r="A83" s="382" t="s">
        <v>635</v>
      </c>
      <c r="B83" s="298" t="s">
        <v>777</v>
      </c>
      <c r="C83" s="299">
        <v>1</v>
      </c>
      <c r="D83" s="304"/>
      <c r="E83" s="304"/>
      <c r="F83" s="304"/>
      <c r="G83" s="305" t="s">
        <v>454</v>
      </c>
      <c r="H83" s="302"/>
      <c r="I83" s="302"/>
      <c r="J83" s="302"/>
      <c r="K83" s="302"/>
      <c r="L83" s="223">
        <f>92/1000</f>
        <v>9.1999999999999998E-2</v>
      </c>
      <c r="M83" s="223">
        <f>58/1000</f>
        <v>5.8000000000000003E-2</v>
      </c>
      <c r="N83" s="223">
        <f>85/1000</f>
        <v>8.5000000000000006E-2</v>
      </c>
      <c r="O83" s="223" t="s">
        <v>845</v>
      </c>
      <c r="P83" s="223"/>
      <c r="Q83" s="223">
        <v>0.09</v>
      </c>
      <c r="R83" s="223"/>
      <c r="S83" s="223">
        <v>0.09</v>
      </c>
      <c r="T83" s="322"/>
    </row>
    <row r="84" spans="1:24" ht="21.75" hidden="1" customHeight="1">
      <c r="A84" s="382" t="s">
        <v>636</v>
      </c>
      <c r="B84" s="298" t="s">
        <v>777</v>
      </c>
      <c r="C84" s="299">
        <v>1</v>
      </c>
      <c r="D84" s="304"/>
      <c r="E84" s="304"/>
      <c r="F84" s="304"/>
      <c r="G84" s="305" t="s">
        <v>454</v>
      </c>
      <c r="H84" s="302"/>
      <c r="I84" s="302"/>
      <c r="J84" s="302"/>
      <c r="K84" s="302"/>
      <c r="L84" s="225">
        <v>0.877</v>
      </c>
      <c r="M84" s="223">
        <f>317/1000</f>
        <v>0.317</v>
      </c>
      <c r="N84" s="223">
        <v>0.31900000000000001</v>
      </c>
      <c r="O84" s="223" t="s">
        <v>845</v>
      </c>
      <c r="P84" s="223"/>
      <c r="Q84" s="223">
        <f>0.27+0.02+0.07</f>
        <v>0.36000000000000004</v>
      </c>
      <c r="R84" s="223"/>
      <c r="S84" s="223">
        <f>0.27+0.05+0.07</f>
        <v>0.39</v>
      </c>
      <c r="T84" s="492"/>
      <c r="U84" s="492"/>
      <c r="V84" s="492"/>
      <c r="W84" s="492"/>
      <c r="X84" s="492"/>
    </row>
    <row r="85" spans="1:24" ht="26.25" hidden="1" customHeight="1">
      <c r="A85" s="382" t="s">
        <v>312</v>
      </c>
      <c r="B85" s="298" t="s">
        <v>778</v>
      </c>
      <c r="C85" s="299">
        <v>1</v>
      </c>
      <c r="D85" s="304"/>
      <c r="E85" s="304"/>
      <c r="F85" s="304"/>
      <c r="G85" s="305" t="s">
        <v>454</v>
      </c>
      <c r="H85" s="302"/>
      <c r="I85" s="302"/>
      <c r="J85" s="302"/>
      <c r="K85" s="302"/>
      <c r="L85" s="223">
        <f>11/1000</f>
        <v>1.0999999999999999E-2</v>
      </c>
      <c r="M85" s="223">
        <f>6/1000</f>
        <v>6.0000000000000001E-3</v>
      </c>
      <c r="N85" s="223">
        <f>7/1000</f>
        <v>7.0000000000000001E-3</v>
      </c>
      <c r="O85" s="223" t="s">
        <v>845</v>
      </c>
      <c r="P85" s="223"/>
      <c r="Q85" s="223">
        <f>7/1000+0.075</f>
        <v>8.2000000000000003E-2</v>
      </c>
      <c r="R85" s="223"/>
      <c r="S85" s="223">
        <f>7/1000+0.075</f>
        <v>8.2000000000000003E-2</v>
      </c>
      <c r="T85" s="497"/>
      <c r="U85" s="497"/>
    </row>
    <row r="86" spans="1:24" ht="14.25" hidden="1" customHeight="1">
      <c r="A86" s="382" t="s">
        <v>891</v>
      </c>
      <c r="B86" s="298" t="s">
        <v>777</v>
      </c>
      <c r="C86" s="299">
        <v>1</v>
      </c>
      <c r="D86" s="304"/>
      <c r="E86" s="304"/>
      <c r="F86" s="304"/>
      <c r="G86" s="305" t="s">
        <v>454</v>
      </c>
      <c r="H86" s="302"/>
      <c r="I86" s="302"/>
      <c r="J86" s="302"/>
      <c r="K86" s="302"/>
      <c r="L86" s="245">
        <f>4/1000</f>
        <v>4.0000000000000001E-3</v>
      </c>
      <c r="M86" s="223" t="s">
        <v>563</v>
      </c>
      <c r="N86" s="223" t="s">
        <v>563</v>
      </c>
      <c r="O86" s="223" t="s">
        <v>845</v>
      </c>
      <c r="P86" s="223" t="s">
        <v>563</v>
      </c>
      <c r="Q86" s="223">
        <f>0.06+0.01</f>
        <v>6.9999999999999993E-2</v>
      </c>
      <c r="R86" s="223"/>
      <c r="S86" s="223">
        <f>0.063+0.01</f>
        <v>7.2999999999999995E-2</v>
      </c>
      <c r="T86" s="322"/>
    </row>
    <row r="87" spans="1:24" ht="14.25" hidden="1" customHeight="1">
      <c r="A87" s="382" t="s">
        <v>892</v>
      </c>
      <c r="B87" s="298" t="s">
        <v>777</v>
      </c>
      <c r="C87" s="299"/>
      <c r="D87" s="304"/>
      <c r="E87" s="304"/>
      <c r="F87" s="304"/>
      <c r="G87" s="305"/>
      <c r="H87" s="302"/>
      <c r="I87" s="302"/>
      <c r="J87" s="302"/>
      <c r="K87" s="302"/>
      <c r="L87" s="245"/>
      <c r="M87" s="223"/>
      <c r="N87" s="223"/>
      <c r="O87" s="223"/>
      <c r="P87" s="223"/>
      <c r="Q87" s="223"/>
      <c r="R87" s="223"/>
      <c r="S87" s="223"/>
      <c r="T87" s="322"/>
    </row>
    <row r="88" spans="1:24" ht="24" hidden="1" customHeight="1">
      <c r="A88" s="390" t="s">
        <v>286</v>
      </c>
      <c r="B88" s="298" t="s">
        <v>777</v>
      </c>
      <c r="C88" s="299">
        <v>1</v>
      </c>
      <c r="D88" s="304"/>
      <c r="E88" s="304"/>
      <c r="F88" s="304"/>
      <c r="G88" s="305" t="s">
        <v>454</v>
      </c>
      <c r="H88" s="302"/>
      <c r="I88" s="302"/>
      <c r="J88" s="302"/>
      <c r="K88" s="302"/>
      <c r="L88" s="223">
        <f>477/1000</f>
        <v>0.47699999999999998</v>
      </c>
      <c r="M88" s="223" t="s">
        <v>563</v>
      </c>
      <c r="N88" s="223" t="s">
        <v>563</v>
      </c>
      <c r="O88" s="223" t="s">
        <v>563</v>
      </c>
      <c r="P88" s="223" t="s">
        <v>563</v>
      </c>
      <c r="Q88" s="223" t="s">
        <v>563</v>
      </c>
      <c r="R88" s="223" t="s">
        <v>563</v>
      </c>
      <c r="S88" s="223" t="s">
        <v>563</v>
      </c>
      <c r="T88" s="322"/>
    </row>
    <row r="89" spans="1:24" ht="14.25" hidden="1" customHeight="1">
      <c r="A89" s="382" t="s">
        <v>786</v>
      </c>
      <c r="B89" s="298" t="s">
        <v>784</v>
      </c>
      <c r="C89" s="299">
        <v>1</v>
      </c>
      <c r="D89" s="304"/>
      <c r="E89" s="304"/>
      <c r="F89" s="304"/>
      <c r="G89" s="305" t="s">
        <v>454</v>
      </c>
      <c r="H89" s="302"/>
      <c r="I89" s="302"/>
      <c r="J89" s="302"/>
      <c r="K89" s="302"/>
      <c r="L89" s="223" t="s">
        <v>563</v>
      </c>
      <c r="M89" s="223" t="s">
        <v>563</v>
      </c>
      <c r="N89" s="223" t="s">
        <v>563</v>
      </c>
      <c r="O89" s="223" t="s">
        <v>563</v>
      </c>
      <c r="P89" s="223" t="s">
        <v>563</v>
      </c>
      <c r="Q89" s="223" t="s">
        <v>563</v>
      </c>
      <c r="R89" s="223" t="s">
        <v>563</v>
      </c>
      <c r="S89" s="223" t="s">
        <v>563</v>
      </c>
      <c r="T89" s="297"/>
    </row>
    <row r="90" spans="1:24" ht="22.5" hidden="1" customHeight="1">
      <c r="A90" s="382" t="s">
        <v>431</v>
      </c>
      <c r="B90" s="298" t="s">
        <v>784</v>
      </c>
      <c r="C90" s="299">
        <v>1</v>
      </c>
      <c r="D90" s="304"/>
      <c r="E90" s="304"/>
      <c r="F90" s="304"/>
      <c r="G90" s="305" t="s">
        <v>454</v>
      </c>
      <c r="H90" s="302"/>
      <c r="I90" s="302"/>
      <c r="J90" s="302"/>
      <c r="K90" s="302"/>
      <c r="L90" s="223" t="s">
        <v>563</v>
      </c>
      <c r="M90" s="223" t="s">
        <v>563</v>
      </c>
      <c r="N90" s="223" t="s">
        <v>563</v>
      </c>
      <c r="O90" s="223" t="s">
        <v>563</v>
      </c>
      <c r="P90" s="223" t="s">
        <v>563</v>
      </c>
      <c r="Q90" s="223" t="s">
        <v>563</v>
      </c>
      <c r="R90" s="223" t="s">
        <v>563</v>
      </c>
      <c r="S90" s="223" t="s">
        <v>563</v>
      </c>
      <c r="T90" s="297"/>
    </row>
    <row r="91" spans="1:24" hidden="1">
      <c r="A91" s="382" t="s">
        <v>876</v>
      </c>
      <c r="B91" s="298" t="s">
        <v>779</v>
      </c>
      <c r="C91" s="299"/>
      <c r="D91" s="304"/>
      <c r="E91" s="304"/>
      <c r="F91" s="304"/>
      <c r="G91" s="305"/>
      <c r="H91" s="302"/>
      <c r="I91" s="302"/>
      <c r="J91" s="302"/>
      <c r="K91" s="302"/>
      <c r="L91" s="222">
        <v>0.8</v>
      </c>
      <c r="M91" s="223" t="s">
        <v>845</v>
      </c>
      <c r="N91" s="223" t="s">
        <v>845</v>
      </c>
      <c r="O91" s="240">
        <v>1</v>
      </c>
      <c r="P91" s="223"/>
      <c r="Q91" s="223">
        <v>2</v>
      </c>
      <c r="R91" s="223">
        <v>2</v>
      </c>
      <c r="S91" s="223">
        <v>2.5</v>
      </c>
      <c r="T91" s="297"/>
    </row>
    <row r="92" spans="1:24" hidden="1">
      <c r="A92" s="382" t="s">
        <v>877</v>
      </c>
      <c r="B92" s="298" t="s">
        <v>792</v>
      </c>
      <c r="C92" s="299"/>
      <c r="D92" s="304"/>
      <c r="E92" s="304"/>
      <c r="F92" s="304"/>
      <c r="G92" s="305"/>
      <c r="H92" s="302"/>
      <c r="I92" s="302"/>
      <c r="J92" s="302"/>
      <c r="K92" s="302"/>
      <c r="L92" s="224">
        <v>0.3</v>
      </c>
      <c r="M92" s="223" t="s">
        <v>845</v>
      </c>
      <c r="N92" s="223" t="s">
        <v>845</v>
      </c>
      <c r="O92" s="240">
        <v>1</v>
      </c>
      <c r="P92" s="223"/>
      <c r="Q92" s="223">
        <v>1.5</v>
      </c>
      <c r="R92" s="223">
        <v>1.5</v>
      </c>
      <c r="S92" s="223">
        <v>2</v>
      </c>
      <c r="T92" s="297"/>
    </row>
    <row r="93" spans="1:24" hidden="1">
      <c r="A93" s="382" t="s">
        <v>710</v>
      </c>
      <c r="B93" s="298" t="s">
        <v>779</v>
      </c>
      <c r="C93" s="299"/>
      <c r="D93" s="304"/>
      <c r="E93" s="304"/>
      <c r="F93" s="304"/>
      <c r="G93" s="305"/>
      <c r="H93" s="302"/>
      <c r="I93" s="302"/>
      <c r="J93" s="302"/>
      <c r="K93" s="302"/>
      <c r="L93" s="222">
        <v>0.8</v>
      </c>
      <c r="M93" s="223" t="s">
        <v>845</v>
      </c>
      <c r="N93" s="223" t="s">
        <v>845</v>
      </c>
      <c r="O93" s="223" t="s">
        <v>845</v>
      </c>
      <c r="P93" s="223" t="s">
        <v>845</v>
      </c>
      <c r="Q93" s="223" t="s">
        <v>845</v>
      </c>
      <c r="R93" s="223" t="s">
        <v>845</v>
      </c>
      <c r="S93" s="223" t="s">
        <v>845</v>
      </c>
      <c r="T93" s="297"/>
    </row>
    <row r="94" spans="1:24" ht="15" hidden="1" customHeight="1">
      <c r="A94" s="489" t="s">
        <v>881</v>
      </c>
      <c r="B94" s="489"/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297"/>
    </row>
    <row r="95" spans="1:24" hidden="1">
      <c r="A95" s="382" t="s">
        <v>232</v>
      </c>
      <c r="B95" s="298" t="s">
        <v>779</v>
      </c>
      <c r="C95" s="299"/>
      <c r="D95" s="304"/>
      <c r="E95" s="304"/>
      <c r="F95" s="304"/>
      <c r="G95" s="305"/>
      <c r="H95" s="302"/>
      <c r="I95" s="302"/>
      <c r="J95" s="302"/>
      <c r="K95" s="302"/>
      <c r="L95" s="223" t="s">
        <v>563</v>
      </c>
      <c r="M95" s="223" t="s">
        <v>563</v>
      </c>
      <c r="N95" s="223" t="s">
        <v>563</v>
      </c>
      <c r="O95" s="223">
        <f>1.77+1.2</f>
        <v>2.9699999999999998</v>
      </c>
      <c r="P95" s="223" t="s">
        <v>563</v>
      </c>
      <c r="Q95" s="223">
        <f>1.5+3</f>
        <v>4.5</v>
      </c>
      <c r="R95" s="223"/>
      <c r="S95" s="223">
        <f>1.5+3.5</f>
        <v>5</v>
      </c>
      <c r="T95" s="297"/>
    </row>
    <row r="96" spans="1:24" hidden="1">
      <c r="A96" s="382" t="s">
        <v>233</v>
      </c>
      <c r="B96" s="298" t="s">
        <v>779</v>
      </c>
      <c r="C96" s="299"/>
      <c r="D96" s="304"/>
      <c r="E96" s="304"/>
      <c r="F96" s="304"/>
      <c r="G96" s="305"/>
      <c r="H96" s="302"/>
      <c r="I96" s="302"/>
      <c r="J96" s="302"/>
      <c r="K96" s="302"/>
      <c r="L96" s="223" t="s">
        <v>563</v>
      </c>
      <c r="M96" s="223" t="s">
        <v>563</v>
      </c>
      <c r="N96" s="223" t="s">
        <v>563</v>
      </c>
      <c r="O96" s="223" t="s">
        <v>563</v>
      </c>
      <c r="P96" s="223" t="s">
        <v>563</v>
      </c>
      <c r="Q96" s="223" t="s">
        <v>563</v>
      </c>
      <c r="R96" s="223" t="s">
        <v>563</v>
      </c>
      <c r="S96" s="223" t="s">
        <v>563</v>
      </c>
      <c r="T96" s="297"/>
    </row>
    <row r="97" spans="1:20" hidden="1">
      <c r="A97" s="382" t="s">
        <v>234</v>
      </c>
      <c r="B97" s="298" t="s">
        <v>779</v>
      </c>
      <c r="C97" s="299"/>
      <c r="D97" s="304"/>
      <c r="E97" s="304"/>
      <c r="F97" s="304"/>
      <c r="G97" s="305"/>
      <c r="H97" s="302"/>
      <c r="I97" s="302"/>
      <c r="J97" s="302"/>
      <c r="K97" s="302"/>
      <c r="L97" s="223" t="s">
        <v>563</v>
      </c>
      <c r="M97" s="223" t="s">
        <v>563</v>
      </c>
      <c r="N97" s="223" t="s">
        <v>563</v>
      </c>
      <c r="O97" s="223" t="s">
        <v>563</v>
      </c>
      <c r="P97" s="223" t="s">
        <v>563</v>
      </c>
      <c r="Q97" s="223" t="s">
        <v>563</v>
      </c>
      <c r="R97" s="223" t="s">
        <v>563</v>
      </c>
      <c r="S97" s="223" t="s">
        <v>563</v>
      </c>
      <c r="T97" s="297"/>
    </row>
    <row r="98" spans="1:20" hidden="1">
      <c r="A98" s="382" t="s">
        <v>235</v>
      </c>
      <c r="B98" s="298" t="s">
        <v>792</v>
      </c>
      <c r="C98" s="299"/>
      <c r="D98" s="304"/>
      <c r="E98" s="304"/>
      <c r="F98" s="304"/>
      <c r="G98" s="305"/>
      <c r="H98" s="302"/>
      <c r="I98" s="302"/>
      <c r="J98" s="302"/>
      <c r="K98" s="302"/>
      <c r="L98" s="223" t="s">
        <v>563</v>
      </c>
      <c r="M98" s="223" t="s">
        <v>563</v>
      </c>
      <c r="N98" s="223" t="s">
        <v>563</v>
      </c>
      <c r="O98" s="223">
        <f>0.2+0.021</f>
        <v>0.221</v>
      </c>
      <c r="P98" s="223" t="s">
        <v>563</v>
      </c>
      <c r="Q98" s="223">
        <f>0.5+0.25</f>
        <v>0.75</v>
      </c>
      <c r="R98" s="223"/>
      <c r="S98" s="223">
        <f>0.5+0.3</f>
        <v>0.8</v>
      </c>
      <c r="T98" s="297"/>
    </row>
    <row r="99" spans="1:20" ht="34.5" hidden="1" customHeight="1">
      <c r="A99" s="483" t="s">
        <v>893</v>
      </c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5"/>
      <c r="T99" s="297"/>
    </row>
    <row r="100" spans="1:20" hidden="1">
      <c r="A100" s="382" t="s">
        <v>476</v>
      </c>
      <c r="B100" s="298" t="s">
        <v>479</v>
      </c>
      <c r="C100" s="299"/>
      <c r="D100" s="304"/>
      <c r="E100" s="304"/>
      <c r="F100" s="304"/>
      <c r="G100" s="305"/>
      <c r="H100" s="302"/>
      <c r="I100" s="302"/>
      <c r="J100" s="302"/>
      <c r="K100" s="302"/>
      <c r="L100" s="223" t="s">
        <v>563</v>
      </c>
      <c r="M100" s="223" t="s">
        <v>563</v>
      </c>
      <c r="N100" s="223" t="s">
        <v>563</v>
      </c>
      <c r="O100" s="223" t="s">
        <v>563</v>
      </c>
      <c r="P100" s="223" t="s">
        <v>563</v>
      </c>
      <c r="Q100" s="223" t="s">
        <v>563</v>
      </c>
      <c r="R100" s="223" t="s">
        <v>563</v>
      </c>
      <c r="S100" s="223" t="s">
        <v>563</v>
      </c>
      <c r="T100" s="297"/>
    </row>
    <row r="101" spans="1:20" hidden="1">
      <c r="A101" s="382" t="s">
        <v>477</v>
      </c>
      <c r="B101" s="298" t="s">
        <v>480</v>
      </c>
      <c r="C101" s="299"/>
      <c r="D101" s="304"/>
      <c r="E101" s="304"/>
      <c r="F101" s="304"/>
      <c r="G101" s="305"/>
      <c r="H101" s="302"/>
      <c r="I101" s="302"/>
      <c r="J101" s="302"/>
      <c r="K101" s="302"/>
      <c r="L101" s="223" t="s">
        <v>563</v>
      </c>
      <c r="M101" s="223" t="s">
        <v>563</v>
      </c>
      <c r="N101" s="223" t="s">
        <v>563</v>
      </c>
      <c r="O101" s="223" t="s">
        <v>563</v>
      </c>
      <c r="P101" s="223" t="s">
        <v>563</v>
      </c>
      <c r="Q101" s="223" t="s">
        <v>563</v>
      </c>
      <c r="R101" s="223" t="s">
        <v>563</v>
      </c>
      <c r="S101" s="223" t="s">
        <v>563</v>
      </c>
      <c r="T101" s="297"/>
    </row>
    <row r="102" spans="1:20" hidden="1">
      <c r="A102" s="382" t="s">
        <v>478</v>
      </c>
      <c r="B102" s="298" t="s">
        <v>792</v>
      </c>
      <c r="C102" s="299"/>
      <c r="D102" s="304"/>
      <c r="E102" s="304"/>
      <c r="F102" s="304"/>
      <c r="G102" s="305"/>
      <c r="H102" s="302"/>
      <c r="I102" s="302"/>
      <c r="J102" s="302"/>
      <c r="K102" s="302"/>
      <c r="L102" s="223" t="s">
        <v>563</v>
      </c>
      <c r="M102" s="223" t="s">
        <v>563</v>
      </c>
      <c r="N102" s="223" t="s">
        <v>563</v>
      </c>
      <c r="O102" s="223" t="s">
        <v>563</v>
      </c>
      <c r="P102" s="223" t="s">
        <v>563</v>
      </c>
      <c r="Q102" s="223" t="s">
        <v>563</v>
      </c>
      <c r="R102" s="223" t="s">
        <v>563</v>
      </c>
      <c r="S102" s="223" t="s">
        <v>563</v>
      </c>
      <c r="T102" s="297"/>
    </row>
    <row r="103" spans="1:20" hidden="1">
      <c r="A103" s="382" t="s">
        <v>301</v>
      </c>
      <c r="B103" s="298" t="s">
        <v>777</v>
      </c>
      <c r="C103" s="299"/>
      <c r="D103" s="304"/>
      <c r="E103" s="304"/>
      <c r="F103" s="304"/>
      <c r="G103" s="305"/>
      <c r="H103" s="302"/>
      <c r="I103" s="302"/>
      <c r="J103" s="302"/>
      <c r="K103" s="302"/>
      <c r="L103" s="223" t="s">
        <v>563</v>
      </c>
      <c r="M103" s="223" t="s">
        <v>563</v>
      </c>
      <c r="N103" s="223" t="s">
        <v>563</v>
      </c>
      <c r="O103" s="223" t="s">
        <v>563</v>
      </c>
      <c r="P103" s="223" t="s">
        <v>563</v>
      </c>
      <c r="Q103" s="223" t="s">
        <v>563</v>
      </c>
      <c r="R103" s="223" t="s">
        <v>563</v>
      </c>
      <c r="S103" s="223" t="s">
        <v>563</v>
      </c>
      <c r="T103" s="297"/>
    </row>
    <row r="104" spans="1:20" hidden="1">
      <c r="A104" s="382" t="s">
        <v>293</v>
      </c>
      <c r="B104" s="298" t="s">
        <v>777</v>
      </c>
      <c r="C104" s="299"/>
      <c r="D104" s="304"/>
      <c r="E104" s="304"/>
      <c r="F104" s="304"/>
      <c r="G104" s="305"/>
      <c r="H104" s="302"/>
      <c r="I104" s="302"/>
      <c r="J104" s="302"/>
      <c r="K104" s="302"/>
      <c r="L104" s="224">
        <v>0.12</v>
      </c>
      <c r="M104" s="223" t="s">
        <v>563</v>
      </c>
      <c r="N104" s="223" t="s">
        <v>563</v>
      </c>
      <c r="O104" s="223" t="s">
        <v>563</v>
      </c>
      <c r="P104" s="223" t="s">
        <v>563</v>
      </c>
      <c r="Q104" s="223" t="s">
        <v>563</v>
      </c>
      <c r="R104" s="223" t="s">
        <v>563</v>
      </c>
      <c r="S104" s="223" t="s">
        <v>563</v>
      </c>
      <c r="T104" s="297"/>
    </row>
    <row r="105" spans="1:20" ht="19.5" customHeight="1">
      <c r="A105" s="382" t="s">
        <v>432</v>
      </c>
      <c r="B105" s="298" t="s">
        <v>777</v>
      </c>
      <c r="C105" s="299"/>
      <c r="D105" s="304"/>
      <c r="E105" s="304"/>
      <c r="F105" s="304"/>
      <c r="G105" s="305"/>
      <c r="H105" s="302"/>
      <c r="I105" s="302"/>
      <c r="J105" s="302"/>
      <c r="K105" s="302"/>
      <c r="L105" s="226">
        <v>278</v>
      </c>
      <c r="M105" s="240">
        <v>266.39999999999998</v>
      </c>
      <c r="N105" s="240">
        <v>236.1</v>
      </c>
      <c r="O105" s="240">
        <v>207.1</v>
      </c>
      <c r="P105" s="223">
        <v>276.8</v>
      </c>
      <c r="Q105" s="224">
        <v>247.5</v>
      </c>
      <c r="R105" s="223">
        <f>137.5*94.9/100</f>
        <v>130.48750000000001</v>
      </c>
      <c r="S105" s="223">
        <v>202.65</v>
      </c>
      <c r="T105" s="233"/>
    </row>
    <row r="106" spans="1:20" ht="19.5" hidden="1" customHeight="1">
      <c r="A106" s="382"/>
      <c r="B106" s="298"/>
      <c r="C106" s="299"/>
      <c r="D106" s="304"/>
      <c r="E106" s="304"/>
      <c r="F106" s="304"/>
      <c r="G106" s="305"/>
      <c r="H106" s="302"/>
      <c r="I106" s="302"/>
      <c r="J106" s="302"/>
      <c r="K106" s="302"/>
      <c r="L106" s="226"/>
      <c r="M106" s="240"/>
      <c r="N106" s="240">
        <f>141.6/7*12</f>
        <v>242.74285714285713</v>
      </c>
      <c r="O106" s="240">
        <f>120.9/7*12</f>
        <v>207.25714285714287</v>
      </c>
      <c r="P106" s="223"/>
      <c r="Q106" s="223"/>
      <c r="R106" s="223">
        <f>R105/8*12</f>
        <v>195.73125000000002</v>
      </c>
      <c r="S106" s="223"/>
      <c r="T106" s="233"/>
    </row>
    <row r="107" spans="1:20" ht="15.75" hidden="1">
      <c r="A107" s="391" t="s">
        <v>850</v>
      </c>
      <c r="B107" s="298"/>
      <c r="C107" s="299"/>
      <c r="D107" s="304"/>
      <c r="E107" s="304"/>
      <c r="F107" s="304"/>
      <c r="G107" s="305"/>
      <c r="H107" s="302"/>
      <c r="I107" s="302"/>
      <c r="J107" s="302"/>
      <c r="K107" s="302"/>
      <c r="L107" s="226"/>
      <c r="M107" s="240">
        <v>136.80000000000001</v>
      </c>
      <c r="N107" s="240">
        <v>131</v>
      </c>
      <c r="O107" s="240">
        <v>96</v>
      </c>
      <c r="P107" s="223"/>
      <c r="Q107" s="223">
        <v>35.200000000000003</v>
      </c>
      <c r="R107" s="223">
        <v>6.1</v>
      </c>
      <c r="S107" s="223">
        <v>10.9</v>
      </c>
      <c r="T107" s="233"/>
    </row>
    <row r="108" spans="1:20" ht="15.75" hidden="1">
      <c r="A108" s="391" t="s">
        <v>849</v>
      </c>
      <c r="B108" s="298"/>
      <c r="C108" s="299"/>
      <c r="D108" s="304"/>
      <c r="E108" s="304"/>
      <c r="F108" s="304"/>
      <c r="G108" s="305"/>
      <c r="H108" s="302"/>
      <c r="I108" s="302"/>
      <c r="J108" s="302"/>
      <c r="K108" s="302"/>
      <c r="L108" s="226"/>
      <c r="M108" s="240">
        <v>136.08000000000001</v>
      </c>
      <c r="N108" s="240">
        <v>117.631</v>
      </c>
      <c r="O108" s="240">
        <v>100.5</v>
      </c>
      <c r="P108" s="223"/>
      <c r="Q108" s="223"/>
      <c r="R108" s="223"/>
      <c r="S108" s="223">
        <v>110</v>
      </c>
      <c r="T108" s="233"/>
    </row>
    <row r="109" spans="1:20" ht="15.75" hidden="1">
      <c r="A109" s="391" t="s">
        <v>865</v>
      </c>
      <c r="B109" s="298"/>
      <c r="C109" s="299"/>
      <c r="D109" s="304"/>
      <c r="E109" s="304"/>
      <c r="F109" s="304"/>
      <c r="G109" s="305"/>
      <c r="H109" s="302"/>
      <c r="I109" s="302"/>
      <c r="J109" s="302"/>
      <c r="K109" s="302"/>
      <c r="L109" s="226"/>
      <c r="M109" s="240">
        <v>130.19999999999999</v>
      </c>
      <c r="N109" s="240">
        <v>118.55500000000001</v>
      </c>
      <c r="O109" s="240">
        <v>106.667</v>
      </c>
      <c r="P109" s="223"/>
      <c r="Q109" s="223">
        <v>99.123999999999995</v>
      </c>
      <c r="R109" s="223">
        <v>64.349999999999994</v>
      </c>
      <c r="S109" s="223">
        <v>95.05</v>
      </c>
      <c r="T109" s="233"/>
    </row>
    <row r="110" spans="1:20" ht="15.75" hidden="1">
      <c r="A110" s="391" t="s">
        <v>852</v>
      </c>
      <c r="B110" s="298"/>
      <c r="C110" s="299"/>
      <c r="D110" s="304"/>
      <c r="E110" s="304"/>
      <c r="F110" s="304"/>
      <c r="G110" s="305"/>
      <c r="H110" s="302"/>
      <c r="I110" s="302"/>
      <c r="J110" s="302"/>
      <c r="K110" s="302"/>
      <c r="L110" s="226"/>
      <c r="M110" s="240">
        <f>SUM(M107+M108+M109)</f>
        <v>403.08</v>
      </c>
      <c r="N110" s="246">
        <f>SUM(N107+N108+N109)</f>
        <v>367.18600000000004</v>
      </c>
      <c r="O110" s="246">
        <f>SUM(O107+O108+O109)</f>
        <v>303.16700000000003</v>
      </c>
      <c r="P110" s="271">
        <f>SUM(P107+P108+P109)</f>
        <v>0</v>
      </c>
      <c r="Q110" s="271"/>
      <c r="R110" s="271"/>
      <c r="S110" s="271">
        <f>SUM(S107+S108+S109)</f>
        <v>215.95</v>
      </c>
      <c r="T110" s="233"/>
    </row>
    <row r="111" spans="1:20" ht="15.75" hidden="1">
      <c r="A111" s="382"/>
      <c r="B111" s="298"/>
      <c r="C111" s="299"/>
      <c r="D111" s="304"/>
      <c r="E111" s="304"/>
      <c r="F111" s="304"/>
      <c r="G111" s="305"/>
      <c r="H111" s="302"/>
      <c r="I111" s="302"/>
      <c r="J111" s="302"/>
      <c r="K111" s="302"/>
      <c r="L111" s="226"/>
      <c r="M111" s="240">
        <f>M107+M109</f>
        <v>267</v>
      </c>
      <c r="N111" s="246">
        <f>N110/M110*100</f>
        <v>91.095067976580353</v>
      </c>
      <c r="O111" s="246">
        <f>O110/N110*100</f>
        <v>82.564967073908051</v>
      </c>
      <c r="P111" s="271"/>
      <c r="Q111" s="271"/>
      <c r="R111" s="271"/>
      <c r="S111" s="271"/>
      <c r="T111" s="233"/>
    </row>
    <row r="112" spans="1:20" ht="15.75" hidden="1">
      <c r="A112" s="382"/>
      <c r="B112" s="298"/>
      <c r="C112" s="299"/>
      <c r="D112" s="304"/>
      <c r="E112" s="304"/>
      <c r="F112" s="304"/>
      <c r="G112" s="305"/>
      <c r="H112" s="302"/>
      <c r="I112" s="302"/>
      <c r="J112" s="302"/>
      <c r="K112" s="302"/>
      <c r="L112" s="226"/>
      <c r="M112" s="240"/>
      <c r="N112" s="240">
        <f>N107+N109</f>
        <v>249.55500000000001</v>
      </c>
      <c r="O112" s="240">
        <f>O107+O109</f>
        <v>202.667</v>
      </c>
      <c r="P112" s="223">
        <f>P107+P109</f>
        <v>0</v>
      </c>
      <c r="Q112" s="223"/>
      <c r="R112" s="223"/>
      <c r="S112" s="223"/>
      <c r="T112" s="233"/>
    </row>
    <row r="113" spans="1:20" ht="13.5" hidden="1" customHeight="1">
      <c r="A113" s="382"/>
      <c r="B113" s="298" t="s">
        <v>932</v>
      </c>
      <c r="C113" s="299"/>
      <c r="D113" s="304"/>
      <c r="E113" s="304"/>
      <c r="F113" s="304"/>
      <c r="G113" s="305"/>
      <c r="H113" s="302"/>
      <c r="I113" s="302"/>
      <c r="J113" s="302"/>
      <c r="K113" s="302"/>
      <c r="L113" s="226"/>
      <c r="M113" s="240"/>
      <c r="N113" s="240"/>
      <c r="O113" s="246">
        <f>O108+O109</f>
        <v>207.167</v>
      </c>
      <c r="P113" s="271"/>
      <c r="Q113" s="414">
        <v>89.4</v>
      </c>
      <c r="R113" s="271"/>
      <c r="S113" s="271"/>
      <c r="T113" s="233"/>
    </row>
    <row r="114" spans="1:20" ht="15.75">
      <c r="A114" s="382" t="s">
        <v>918</v>
      </c>
      <c r="B114" s="298" t="s">
        <v>919</v>
      </c>
      <c r="C114" s="299"/>
      <c r="D114" s="304"/>
      <c r="E114" s="304"/>
      <c r="F114" s="304"/>
      <c r="G114" s="305"/>
      <c r="H114" s="302"/>
      <c r="I114" s="302"/>
      <c r="J114" s="302"/>
      <c r="K114" s="302"/>
      <c r="L114" s="223">
        <v>2291.4</v>
      </c>
      <c r="M114" s="243">
        <v>2249.8000000000002</v>
      </c>
      <c r="N114" s="243">
        <v>2260.4</v>
      </c>
      <c r="O114" s="240">
        <v>2145.3000000000002</v>
      </c>
      <c r="P114" s="223">
        <v>96</v>
      </c>
      <c r="Q114" s="223">
        <v>96.1</v>
      </c>
      <c r="R114" s="223">
        <v>101.9</v>
      </c>
      <c r="S114" s="223">
        <v>99.13</v>
      </c>
      <c r="T114" s="234"/>
    </row>
    <row r="115" spans="1:20" ht="15.75" hidden="1">
      <c r="A115" s="391" t="s">
        <v>850</v>
      </c>
      <c r="B115" s="298"/>
      <c r="C115" s="299"/>
      <c r="D115" s="304"/>
      <c r="E115" s="304"/>
      <c r="F115" s="304"/>
      <c r="G115" s="305"/>
      <c r="H115" s="302"/>
      <c r="I115" s="302"/>
      <c r="J115" s="302"/>
      <c r="K115" s="302"/>
      <c r="L115" s="223"/>
      <c r="M115" s="243"/>
      <c r="N115" s="243"/>
      <c r="O115" s="240">
        <v>7.5</v>
      </c>
      <c r="P115" s="223"/>
      <c r="Q115" s="223">
        <v>3.8</v>
      </c>
      <c r="R115" s="223">
        <v>0.6</v>
      </c>
      <c r="S115" s="223">
        <v>0.8</v>
      </c>
      <c r="T115" s="232"/>
    </row>
    <row r="116" spans="1:20" ht="15.75" hidden="1">
      <c r="A116" s="391" t="s">
        <v>849</v>
      </c>
      <c r="B116" s="298"/>
      <c r="C116" s="299"/>
      <c r="D116" s="304"/>
      <c r="E116" s="304"/>
      <c r="F116" s="304"/>
      <c r="G116" s="305"/>
      <c r="H116" s="302"/>
      <c r="I116" s="302"/>
      <c r="J116" s="302"/>
      <c r="K116" s="302"/>
      <c r="L116" s="223"/>
      <c r="M116" s="243">
        <v>7.01</v>
      </c>
      <c r="N116" s="243">
        <v>6.4</v>
      </c>
      <c r="O116" s="240">
        <v>5.8</v>
      </c>
      <c r="P116" s="223"/>
      <c r="Q116" s="223">
        <v>7.51</v>
      </c>
      <c r="R116" s="223"/>
      <c r="S116" s="223">
        <v>7</v>
      </c>
      <c r="T116" s="232"/>
    </row>
    <row r="117" spans="1:20" ht="15.75" hidden="1">
      <c r="A117" s="391" t="s">
        <v>865</v>
      </c>
      <c r="B117" s="298"/>
      <c r="C117" s="299"/>
      <c r="D117" s="304"/>
      <c r="E117" s="304"/>
      <c r="F117" s="304"/>
      <c r="G117" s="305"/>
      <c r="H117" s="302"/>
      <c r="I117" s="302"/>
      <c r="J117" s="302"/>
      <c r="K117" s="302"/>
      <c r="L117" s="223"/>
      <c r="M117" s="243"/>
      <c r="N117" s="243">
        <v>2253.77</v>
      </c>
      <c r="O117" s="240">
        <v>2139.5450000000001</v>
      </c>
      <c r="P117" s="223"/>
      <c r="Q117" s="223">
        <v>1805.32</v>
      </c>
      <c r="R117" s="223">
        <v>1158.1320000000001</v>
      </c>
      <c r="S117" s="223">
        <v>1717.03</v>
      </c>
      <c r="T117" s="232"/>
    </row>
    <row r="118" spans="1:20" ht="15.75" hidden="1">
      <c r="A118" s="391"/>
      <c r="B118" s="298"/>
      <c r="C118" s="299"/>
      <c r="D118" s="304"/>
      <c r="E118" s="304"/>
      <c r="F118" s="304"/>
      <c r="G118" s="305"/>
      <c r="H118" s="302"/>
      <c r="I118" s="302"/>
      <c r="J118" s="302"/>
      <c r="K118" s="302"/>
      <c r="L118" s="223"/>
      <c r="M118" s="243"/>
      <c r="N118" s="247">
        <f t="shared" ref="N118:S118" si="0">SUM(N115:N117)</f>
        <v>2260.17</v>
      </c>
      <c r="O118" s="247">
        <f t="shared" si="0"/>
        <v>2152.8450000000003</v>
      </c>
      <c r="P118" s="273">
        <f t="shared" si="0"/>
        <v>0</v>
      </c>
      <c r="Q118" s="273">
        <f t="shared" si="0"/>
        <v>1816.6299999999999</v>
      </c>
      <c r="R118" s="273">
        <f t="shared" si="0"/>
        <v>1158.732</v>
      </c>
      <c r="S118" s="273">
        <f t="shared" si="0"/>
        <v>1724.83</v>
      </c>
      <c r="T118" s="232"/>
    </row>
    <row r="119" spans="1:20" ht="15.75" hidden="1">
      <c r="A119" s="392"/>
      <c r="B119" s="306"/>
      <c r="C119" s="307"/>
      <c r="D119" s="308"/>
      <c r="E119" s="308"/>
      <c r="F119" s="308"/>
      <c r="G119" s="309"/>
      <c r="H119" s="310"/>
      <c r="I119" s="310"/>
      <c r="J119" s="310"/>
      <c r="K119" s="310"/>
      <c r="L119" s="272"/>
      <c r="M119" s="366"/>
      <c r="N119" s="367"/>
      <c r="O119" s="367"/>
      <c r="P119" s="368"/>
      <c r="Q119" s="368"/>
      <c r="R119" s="368"/>
      <c r="S119" s="417">
        <f>S118/Q118*100</f>
        <v>94.946686997352245</v>
      </c>
      <c r="T119" s="232"/>
    </row>
    <row r="120" spans="1:20" ht="15.75" customHeight="1">
      <c r="A120" s="460" t="s">
        <v>889</v>
      </c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2"/>
      <c r="T120" s="297"/>
    </row>
    <row r="121" spans="1:20" ht="26.25" customHeight="1">
      <c r="A121" s="408" t="s">
        <v>933</v>
      </c>
      <c r="B121" s="425" t="s">
        <v>676</v>
      </c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>
        <f>P125</f>
        <v>0</v>
      </c>
      <c r="Q121" s="223">
        <v>18.100000000000001</v>
      </c>
      <c r="R121" s="223">
        <f>R123</f>
        <v>1.4</v>
      </c>
      <c r="S121" s="223">
        <v>178.2</v>
      </c>
      <c r="T121" s="297"/>
    </row>
    <row r="122" spans="1:20" ht="16.5" hidden="1" customHeight="1">
      <c r="A122" s="408" t="s">
        <v>943</v>
      </c>
      <c r="B122" s="425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23"/>
      <c r="R122" s="272"/>
      <c r="S122" s="223"/>
      <c r="T122" s="297"/>
    </row>
    <row r="123" spans="1:20" ht="18.75" hidden="1" customHeight="1">
      <c r="A123" s="408" t="s">
        <v>944</v>
      </c>
      <c r="B123" s="425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23"/>
      <c r="R123" s="272">
        <f>1.19+0.21</f>
        <v>1.4</v>
      </c>
      <c r="S123" s="223"/>
      <c r="T123" s="297"/>
    </row>
    <row r="124" spans="1:20" ht="16.5" hidden="1" customHeight="1">
      <c r="A124" s="408" t="s">
        <v>945</v>
      </c>
      <c r="B124" s="425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23"/>
      <c r="R124" s="272"/>
      <c r="S124" s="223"/>
      <c r="T124" s="297"/>
    </row>
    <row r="125" spans="1:20" ht="16.5" hidden="1" customHeight="1">
      <c r="A125" s="408" t="s">
        <v>946</v>
      </c>
      <c r="B125" s="425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>
        <f>30.522+0.1135</f>
        <v>30.635499999999997</v>
      </c>
      <c r="R125" s="223"/>
      <c r="S125" s="412"/>
      <c r="T125" s="412">
        <v>13</v>
      </c>
    </row>
    <row r="126" spans="1:20" ht="15.75" hidden="1" customHeight="1">
      <c r="A126" s="393"/>
      <c r="B126" s="426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450">
        <v>146.5</v>
      </c>
      <c r="Q126" s="450"/>
      <c r="R126" s="450"/>
      <c r="S126" s="450"/>
      <c r="T126" s="297"/>
    </row>
    <row r="127" spans="1:20" ht="15" hidden="1" customHeight="1">
      <c r="A127" s="394">
        <v>1</v>
      </c>
      <c r="B127" s="427">
        <v>2</v>
      </c>
      <c r="C127" s="264"/>
      <c r="D127" s="265"/>
      <c r="E127" s="266"/>
      <c r="F127" s="264"/>
      <c r="G127" s="267"/>
      <c r="H127" s="264"/>
      <c r="I127" s="264"/>
      <c r="J127" s="264"/>
      <c r="K127" s="264"/>
      <c r="L127" s="268"/>
      <c r="M127" s="268"/>
      <c r="N127" s="268"/>
      <c r="O127" s="449"/>
      <c r="P127" s="450"/>
      <c r="Q127" s="376"/>
      <c r="R127" s="450"/>
      <c r="S127" s="376">
        <v>3</v>
      </c>
      <c r="T127" s="297"/>
    </row>
    <row r="128" spans="1:20" ht="14.25">
      <c r="A128" s="463" t="s">
        <v>811</v>
      </c>
      <c r="B128" s="464"/>
      <c r="C128" s="464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5"/>
      <c r="T128" s="297"/>
    </row>
    <row r="129" spans="1:20" s="303" customFormat="1" ht="23.25" customHeight="1">
      <c r="A129" s="382" t="s">
        <v>815</v>
      </c>
      <c r="B129" s="298" t="s">
        <v>676</v>
      </c>
      <c r="C129" s="299">
        <v>1</v>
      </c>
      <c r="D129" s="304"/>
      <c r="E129" s="304"/>
      <c r="F129" s="304"/>
      <c r="G129" s="305" t="s">
        <v>454</v>
      </c>
      <c r="H129" s="302"/>
      <c r="I129" s="302"/>
      <c r="J129" s="302"/>
      <c r="K129" s="302"/>
      <c r="L129" s="227">
        <v>1200.8330000000001</v>
      </c>
      <c r="M129" s="227">
        <v>968.73699999999997</v>
      </c>
      <c r="N129" s="228">
        <v>860.76300000000003</v>
      </c>
      <c r="O129" s="418">
        <v>949.75400000000002</v>
      </c>
      <c r="P129" s="223">
        <v>852.9</v>
      </c>
      <c r="Q129" s="223">
        <v>584</v>
      </c>
      <c r="R129" s="223" t="s">
        <v>875</v>
      </c>
      <c r="S129" s="223">
        <v>599.99</v>
      </c>
      <c r="T129" s="297"/>
    </row>
    <row r="130" spans="1:20" s="303" customFormat="1" hidden="1">
      <c r="A130" s="382" t="s">
        <v>885</v>
      </c>
      <c r="B130" s="298"/>
      <c r="C130" s="299"/>
      <c r="D130" s="304"/>
      <c r="E130" s="304"/>
      <c r="F130" s="304"/>
      <c r="G130" s="305"/>
      <c r="H130" s="302"/>
      <c r="I130" s="302"/>
      <c r="J130" s="302"/>
      <c r="K130" s="302"/>
      <c r="L130" s="227"/>
      <c r="M130" s="227"/>
      <c r="N130" s="238">
        <f>434.081*2</f>
        <v>868.16200000000003</v>
      </c>
      <c r="O130" s="238"/>
      <c r="P130" s="223"/>
      <c r="Q130" s="223"/>
      <c r="R130" s="223"/>
      <c r="S130" s="223"/>
      <c r="T130" s="297"/>
    </row>
    <row r="131" spans="1:20" s="303" customFormat="1" hidden="1">
      <c r="A131" s="382"/>
      <c r="B131" s="298"/>
      <c r="C131" s="299"/>
      <c r="D131" s="304"/>
      <c r="E131" s="304"/>
      <c r="F131" s="304"/>
      <c r="G131" s="305"/>
      <c r="H131" s="302"/>
      <c r="I131" s="302"/>
      <c r="J131" s="302"/>
      <c r="K131" s="302"/>
      <c r="L131" s="227"/>
      <c r="M131" s="227"/>
      <c r="N131" s="240">
        <v>246</v>
      </c>
      <c r="O131" s="240"/>
      <c r="P131" s="223"/>
      <c r="Q131" s="223"/>
      <c r="R131" s="223"/>
      <c r="S131" s="223"/>
      <c r="T131" s="297"/>
    </row>
    <row r="132" spans="1:20" s="303" customFormat="1" hidden="1">
      <c r="A132" s="382"/>
      <c r="B132" s="298"/>
      <c r="C132" s="299"/>
      <c r="D132" s="304"/>
      <c r="E132" s="304"/>
      <c r="F132" s="304"/>
      <c r="G132" s="305"/>
      <c r="H132" s="302"/>
      <c r="I132" s="302"/>
      <c r="J132" s="302"/>
      <c r="K132" s="302"/>
      <c r="L132" s="227"/>
      <c r="M132" s="227"/>
      <c r="N132" s="324">
        <v>221.95500000000001</v>
      </c>
      <c r="O132" s="324"/>
      <c r="P132" s="223"/>
      <c r="Q132" s="223"/>
      <c r="R132" s="223"/>
      <c r="S132" s="223"/>
      <c r="T132" s="297"/>
    </row>
    <row r="133" spans="1:20" s="303" customFormat="1" hidden="1">
      <c r="A133" s="382"/>
      <c r="B133" s="298"/>
      <c r="C133" s="299"/>
      <c r="D133" s="304"/>
      <c r="E133" s="304"/>
      <c r="F133" s="304"/>
      <c r="G133" s="305"/>
      <c r="H133" s="302"/>
      <c r="I133" s="302"/>
      <c r="J133" s="302"/>
      <c r="K133" s="302"/>
      <c r="L133" s="227"/>
      <c r="M133" s="227"/>
      <c r="N133" s="240">
        <f>N130*4</f>
        <v>3472.6480000000001</v>
      </c>
      <c r="O133" s="240"/>
      <c r="P133" s="223"/>
      <c r="Q133" s="223"/>
      <c r="R133" s="223"/>
      <c r="S133" s="223"/>
      <c r="T133" s="297"/>
    </row>
    <row r="134" spans="1:20" s="303" customFormat="1" ht="24" hidden="1" customHeight="1">
      <c r="A134" s="382" t="s">
        <v>934</v>
      </c>
      <c r="B134" s="298"/>
      <c r="C134" s="299"/>
      <c r="D134" s="304"/>
      <c r="E134" s="304"/>
      <c r="F134" s="304"/>
      <c r="G134" s="305"/>
      <c r="H134" s="302"/>
      <c r="I134" s="302"/>
      <c r="J134" s="302"/>
      <c r="K134" s="302"/>
      <c r="L134" s="227"/>
      <c r="M134" s="238">
        <v>737.74800000000005</v>
      </c>
      <c r="N134" s="238">
        <v>648.54999999999995</v>
      </c>
      <c r="O134" s="240"/>
      <c r="P134" s="223"/>
      <c r="Q134" s="223">
        <v>187.41</v>
      </c>
      <c r="R134" s="223"/>
      <c r="S134" s="419">
        <v>223.8</v>
      </c>
      <c r="T134" s="297"/>
    </row>
    <row r="135" spans="1:20" s="303" customFormat="1" ht="21" hidden="1" customHeight="1">
      <c r="A135" s="382"/>
      <c r="B135" s="298"/>
      <c r="C135" s="299"/>
      <c r="D135" s="304"/>
      <c r="E135" s="304"/>
      <c r="F135" s="304"/>
      <c r="G135" s="305"/>
      <c r="H135" s="302"/>
      <c r="I135" s="302"/>
      <c r="J135" s="302"/>
      <c r="K135" s="302"/>
      <c r="L135" s="227"/>
      <c r="M135" s="227">
        <f>M134/9*12</f>
        <v>983.6640000000001</v>
      </c>
      <c r="N135" s="255">
        <f>N134/9*12</f>
        <v>864.73333333333323</v>
      </c>
      <c r="O135" s="240"/>
      <c r="P135" s="223"/>
      <c r="Q135" s="223"/>
      <c r="R135" s="223"/>
      <c r="S135" s="223">
        <f>223.8/187.42*100</f>
        <v>119.41094867143316</v>
      </c>
      <c r="T135" s="297"/>
    </row>
    <row r="136" spans="1:20" s="303" customFormat="1" ht="18" customHeight="1">
      <c r="A136" s="382"/>
      <c r="B136" s="298" t="s">
        <v>677</v>
      </c>
      <c r="C136" s="299">
        <v>1</v>
      </c>
      <c r="D136" s="304"/>
      <c r="E136" s="304"/>
      <c r="F136" s="304"/>
      <c r="G136" s="305" t="s">
        <v>453</v>
      </c>
      <c r="H136" s="302"/>
      <c r="I136" s="302"/>
      <c r="J136" s="302"/>
      <c r="K136" s="302"/>
      <c r="L136" s="240"/>
      <c r="M136" s="223">
        <v>81.3</v>
      </c>
      <c r="N136" s="240">
        <v>90.1</v>
      </c>
      <c r="O136" s="240">
        <v>100.3</v>
      </c>
      <c r="P136" s="223">
        <v>90.2</v>
      </c>
      <c r="Q136" s="223"/>
      <c r="R136" s="223" t="s">
        <v>875</v>
      </c>
      <c r="S136" s="223">
        <v>99</v>
      </c>
      <c r="T136" s="297"/>
    </row>
    <row r="137" spans="1:20" ht="21" customHeight="1">
      <c r="A137" s="382"/>
      <c r="B137" s="298" t="s">
        <v>800</v>
      </c>
      <c r="C137" s="299">
        <v>1</v>
      </c>
      <c r="D137" s="304"/>
      <c r="E137" s="304"/>
      <c r="F137" s="304"/>
      <c r="G137" s="305" t="s">
        <v>455</v>
      </c>
      <c r="H137" s="302"/>
      <c r="I137" s="302"/>
      <c r="J137" s="302"/>
      <c r="K137" s="302"/>
      <c r="L137" s="240"/>
      <c r="M137" s="223"/>
      <c r="N137" s="240"/>
      <c r="O137" s="240"/>
      <c r="P137" s="223"/>
      <c r="Q137" s="223"/>
      <c r="R137" s="223" t="s">
        <v>875</v>
      </c>
      <c r="S137" s="223">
        <v>104.8</v>
      </c>
      <c r="T137" s="297"/>
    </row>
    <row r="138" spans="1:20" hidden="1">
      <c r="A138" s="382" t="s">
        <v>363</v>
      </c>
      <c r="B138" s="298" t="s">
        <v>676</v>
      </c>
      <c r="C138" s="299">
        <v>1</v>
      </c>
      <c r="D138" s="304"/>
      <c r="E138" s="304"/>
      <c r="F138" s="304"/>
      <c r="G138" s="305" t="s">
        <v>454</v>
      </c>
      <c r="H138" s="302"/>
      <c r="I138" s="302"/>
      <c r="J138" s="302"/>
      <c r="K138" s="302"/>
      <c r="L138" s="227">
        <v>47.103000000000002</v>
      </c>
      <c r="M138" s="223">
        <v>68</v>
      </c>
      <c r="N138" s="240">
        <v>96.8</v>
      </c>
      <c r="O138" s="223" t="s">
        <v>845</v>
      </c>
      <c r="P138" s="223" t="s">
        <v>845</v>
      </c>
      <c r="Q138" s="223" t="s">
        <v>845</v>
      </c>
      <c r="R138" s="223"/>
      <c r="S138" s="223" t="s">
        <v>845</v>
      </c>
      <c r="T138" s="297"/>
    </row>
    <row r="139" spans="1:20" hidden="1">
      <c r="A139" s="382"/>
      <c r="B139" s="428"/>
      <c r="C139" s="299">
        <v>1</v>
      </c>
      <c r="D139" s="304"/>
      <c r="E139" s="304"/>
      <c r="F139" s="304"/>
      <c r="G139" s="305" t="s">
        <v>453</v>
      </c>
      <c r="H139" s="302"/>
      <c r="I139" s="302"/>
      <c r="J139" s="302"/>
      <c r="K139" s="302"/>
      <c r="L139" s="240"/>
      <c r="M139" s="223"/>
      <c r="N139" s="240"/>
      <c r="O139" s="240">
        <f>41+1</f>
        <v>42</v>
      </c>
      <c r="P139" s="223"/>
      <c r="Q139" s="223">
        <f>((32+1.4)/105.5*100)/O139*100</f>
        <v>75.378018505980592</v>
      </c>
      <c r="R139" s="223"/>
      <c r="S139" s="223"/>
      <c r="T139" s="297"/>
    </row>
    <row r="140" spans="1:20" hidden="1">
      <c r="A140" s="382"/>
      <c r="B140" s="298" t="s">
        <v>677</v>
      </c>
      <c r="C140" s="299"/>
      <c r="D140" s="304"/>
      <c r="E140" s="304"/>
      <c r="F140" s="304"/>
      <c r="G140" s="305"/>
      <c r="H140" s="302"/>
      <c r="I140" s="302"/>
      <c r="J140" s="302"/>
      <c r="K140" s="302"/>
      <c r="L140" s="240"/>
      <c r="M140" s="223"/>
      <c r="N140" s="240"/>
      <c r="O140" s="240"/>
      <c r="P140" s="223"/>
      <c r="Q140" s="223">
        <v>80</v>
      </c>
      <c r="R140" s="223"/>
      <c r="S140" s="223">
        <v>100</v>
      </c>
      <c r="T140" s="297"/>
    </row>
    <row r="141" spans="1:20" hidden="1">
      <c r="A141" s="382"/>
      <c r="B141" s="298" t="s">
        <v>800</v>
      </c>
      <c r="C141" s="299">
        <v>1</v>
      </c>
      <c r="D141" s="304"/>
      <c r="E141" s="304"/>
      <c r="F141" s="304"/>
      <c r="G141" s="305" t="s">
        <v>453</v>
      </c>
      <c r="H141" s="302"/>
      <c r="I141" s="302"/>
      <c r="J141" s="302"/>
      <c r="K141" s="302"/>
      <c r="L141" s="240"/>
      <c r="M141" s="223"/>
      <c r="N141" s="240"/>
      <c r="O141" s="240"/>
      <c r="P141" s="223"/>
      <c r="Q141" s="223">
        <v>105.5</v>
      </c>
      <c r="R141" s="223"/>
      <c r="S141" s="223">
        <v>108.3</v>
      </c>
      <c r="T141" s="297"/>
    </row>
    <row r="142" spans="1:20" ht="27" hidden="1" customHeight="1">
      <c r="A142" s="483" t="s">
        <v>894</v>
      </c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5"/>
      <c r="T142" s="297"/>
    </row>
    <row r="143" spans="1:20" ht="22.5" customHeight="1">
      <c r="A143" s="382" t="s">
        <v>363</v>
      </c>
      <c r="B143" s="298" t="s">
        <v>676</v>
      </c>
      <c r="C143" s="299">
        <v>1</v>
      </c>
      <c r="D143" s="304"/>
      <c r="E143" s="304"/>
      <c r="F143" s="304"/>
      <c r="G143" s="305" t="s">
        <v>454</v>
      </c>
      <c r="H143" s="302"/>
      <c r="I143" s="302"/>
      <c r="J143" s="302"/>
      <c r="K143" s="302"/>
      <c r="L143" s="223">
        <v>371.1</v>
      </c>
      <c r="M143" s="224">
        <v>383.4</v>
      </c>
      <c r="N143" s="240">
        <v>415.6</v>
      </c>
      <c r="O143" s="418">
        <v>433.9</v>
      </c>
      <c r="P143" s="223">
        <v>60.3</v>
      </c>
      <c r="Q143" s="223"/>
      <c r="R143" s="223" t="s">
        <v>875</v>
      </c>
      <c r="S143" s="223" t="s">
        <v>845</v>
      </c>
      <c r="T143" s="297"/>
    </row>
    <row r="144" spans="1:20" hidden="1">
      <c r="A144" s="382" t="s">
        <v>901</v>
      </c>
      <c r="B144" s="298"/>
      <c r="C144" s="299"/>
      <c r="D144" s="304"/>
      <c r="E144" s="304"/>
      <c r="F144" s="304"/>
      <c r="G144" s="305"/>
      <c r="H144" s="302"/>
      <c r="I144" s="302"/>
      <c r="J144" s="302"/>
      <c r="K144" s="302"/>
      <c r="L144" s="223"/>
      <c r="M144" s="224">
        <f>277.2/9*6</f>
        <v>184.79999999999998</v>
      </c>
      <c r="N144" s="240">
        <f>189.9*2</f>
        <v>379.8</v>
      </c>
      <c r="O144" s="240"/>
      <c r="P144" s="223"/>
      <c r="Q144" s="223">
        <f>110.2*4</f>
        <v>440.8</v>
      </c>
      <c r="R144" s="223"/>
      <c r="S144" s="223" t="s">
        <v>845</v>
      </c>
      <c r="T144" s="297"/>
    </row>
    <row r="145" spans="1:20" hidden="1">
      <c r="A145" s="382" t="s">
        <v>900</v>
      </c>
      <c r="B145" s="298" t="s">
        <v>279</v>
      </c>
      <c r="C145" s="299"/>
      <c r="D145" s="304"/>
      <c r="E145" s="304"/>
      <c r="F145" s="304"/>
      <c r="G145" s="305"/>
      <c r="H145" s="302"/>
      <c r="I145" s="302"/>
      <c r="J145" s="302"/>
      <c r="K145" s="302"/>
      <c r="L145" s="223"/>
      <c r="M145" s="224"/>
      <c r="N145" s="230">
        <f>12.0471991372201*15763/1000</f>
        <v>189.90000000000043</v>
      </c>
      <c r="O145" s="240">
        <f>207.4/189.9*100</f>
        <v>109.21537651395472</v>
      </c>
      <c r="P145" s="223"/>
      <c r="Q145" s="223">
        <v>103.2</v>
      </c>
      <c r="R145" s="223"/>
      <c r="S145" s="223" t="s">
        <v>845</v>
      </c>
      <c r="T145" s="297"/>
    </row>
    <row r="146" spans="1:20" ht="23.25" customHeight="1">
      <c r="A146" s="382"/>
      <c r="B146" s="298" t="s">
        <v>677</v>
      </c>
      <c r="C146" s="299">
        <v>1</v>
      </c>
      <c r="D146" s="304"/>
      <c r="E146" s="304"/>
      <c r="F146" s="304"/>
      <c r="G146" s="305" t="s">
        <v>453</v>
      </c>
      <c r="H146" s="302"/>
      <c r="I146" s="302"/>
      <c r="J146" s="302"/>
      <c r="K146" s="302"/>
      <c r="L146" s="240"/>
      <c r="M146" s="223">
        <v>96.4</v>
      </c>
      <c r="N146" s="240">
        <v>100</v>
      </c>
      <c r="O146" s="240">
        <v>97.9</v>
      </c>
      <c r="P146" s="223">
        <v>89.5</v>
      </c>
      <c r="Q146" s="223">
        <v>107.8</v>
      </c>
      <c r="R146" s="223" t="s">
        <v>875</v>
      </c>
      <c r="S146" s="223" t="s">
        <v>845</v>
      </c>
      <c r="T146" s="297"/>
    </row>
    <row r="147" spans="1:20" ht="21.75" customHeight="1">
      <c r="A147" s="382"/>
      <c r="B147" s="298" t="s">
        <v>800</v>
      </c>
      <c r="C147" s="299">
        <v>1</v>
      </c>
      <c r="D147" s="325"/>
      <c r="E147" s="325"/>
      <c r="F147" s="325"/>
      <c r="G147" s="326" t="s">
        <v>455</v>
      </c>
      <c r="H147" s="302"/>
      <c r="I147" s="302"/>
      <c r="J147" s="302"/>
      <c r="K147" s="302"/>
      <c r="L147" s="240"/>
      <c r="M147" s="240"/>
      <c r="N147" s="240"/>
      <c r="O147" s="240"/>
      <c r="P147" s="223"/>
      <c r="Q147" s="223"/>
      <c r="R147" s="223" t="s">
        <v>875</v>
      </c>
      <c r="S147" s="223" t="s">
        <v>845</v>
      </c>
      <c r="T147" s="297"/>
    </row>
    <row r="148" spans="1:20" ht="36" customHeight="1">
      <c r="A148" s="483" t="s">
        <v>970</v>
      </c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5"/>
      <c r="T148" s="297"/>
    </row>
    <row r="149" spans="1:20" ht="15" hidden="1" customHeight="1">
      <c r="A149" s="394">
        <v>1</v>
      </c>
      <c r="B149" s="394">
        <v>2</v>
      </c>
      <c r="C149" s="432"/>
      <c r="D149" s="433"/>
      <c r="E149" s="434"/>
      <c r="F149" s="432"/>
      <c r="G149" s="435"/>
      <c r="H149" s="432"/>
      <c r="I149" s="432"/>
      <c r="J149" s="432"/>
      <c r="K149" s="432"/>
      <c r="L149" s="436"/>
      <c r="M149" s="436"/>
      <c r="N149" s="436"/>
      <c r="O149" s="437"/>
      <c r="P149" s="437"/>
      <c r="Q149" s="394"/>
      <c r="R149" s="437">
        <v>3</v>
      </c>
      <c r="S149" s="394">
        <v>4</v>
      </c>
      <c r="T149" s="297"/>
    </row>
    <row r="150" spans="1:20" ht="14.25">
      <c r="A150" s="463" t="s">
        <v>922</v>
      </c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  <c r="R150" s="464"/>
      <c r="S150" s="465"/>
      <c r="T150" s="297"/>
    </row>
    <row r="151" spans="1:20" ht="23.25" hidden="1" customHeight="1">
      <c r="A151" s="388" t="s">
        <v>236</v>
      </c>
      <c r="B151" s="298" t="s">
        <v>314</v>
      </c>
      <c r="C151" s="299">
        <v>1</v>
      </c>
      <c r="D151" s="304"/>
      <c r="E151" s="304"/>
      <c r="F151" s="304"/>
      <c r="G151" s="305" t="s">
        <v>454</v>
      </c>
      <c r="H151" s="302"/>
      <c r="I151" s="302"/>
      <c r="J151" s="302"/>
      <c r="K151" s="302"/>
      <c r="L151" s="223" t="s">
        <v>563</v>
      </c>
      <c r="M151" s="223" t="s">
        <v>563</v>
      </c>
      <c r="N151" s="226">
        <v>1</v>
      </c>
      <c r="O151" s="226">
        <v>2</v>
      </c>
      <c r="P151" s="226">
        <v>2</v>
      </c>
      <c r="Q151" s="226">
        <v>2</v>
      </c>
      <c r="R151" s="226">
        <v>2</v>
      </c>
      <c r="S151" s="226">
        <v>2</v>
      </c>
      <c r="T151" s="297"/>
    </row>
    <row r="152" spans="1:20" hidden="1">
      <c r="A152" s="382" t="s">
        <v>840</v>
      </c>
      <c r="B152" s="298"/>
      <c r="C152" s="299"/>
      <c r="D152" s="304"/>
      <c r="E152" s="304"/>
      <c r="F152" s="304"/>
      <c r="G152" s="305"/>
      <c r="H152" s="302"/>
      <c r="I152" s="302"/>
      <c r="J152" s="302"/>
      <c r="K152" s="302"/>
      <c r="L152" s="240"/>
      <c r="M152" s="240"/>
      <c r="N152" s="240"/>
      <c r="O152" s="240"/>
      <c r="P152" s="223"/>
      <c r="Q152" s="223"/>
      <c r="R152" s="223"/>
      <c r="S152" s="223"/>
      <c r="T152" s="297"/>
    </row>
    <row r="153" spans="1:20" hidden="1">
      <c r="A153" s="384" t="s">
        <v>681</v>
      </c>
      <c r="B153" s="298" t="s">
        <v>282</v>
      </c>
      <c r="C153" s="299">
        <v>1</v>
      </c>
      <c r="D153" s="304"/>
      <c r="E153" s="304"/>
      <c r="F153" s="304"/>
      <c r="G153" s="305" t="s">
        <v>454</v>
      </c>
      <c r="H153" s="302"/>
      <c r="I153" s="302"/>
      <c r="J153" s="302"/>
      <c r="K153" s="302"/>
      <c r="L153" s="223" t="s">
        <v>563</v>
      </c>
      <c r="M153" s="223" t="s">
        <v>563</v>
      </c>
      <c r="N153" s="223" t="s">
        <v>845</v>
      </c>
      <c r="O153" s="223" t="s">
        <v>845</v>
      </c>
      <c r="P153" s="223" t="s">
        <v>845</v>
      </c>
      <c r="Q153" s="223" t="s">
        <v>845</v>
      </c>
      <c r="R153" s="223" t="s">
        <v>845</v>
      </c>
      <c r="S153" s="223" t="s">
        <v>845</v>
      </c>
      <c r="T153" s="297"/>
    </row>
    <row r="154" spans="1:20" hidden="1">
      <c r="A154" s="384" t="s">
        <v>691</v>
      </c>
      <c r="B154" s="298" t="s">
        <v>282</v>
      </c>
      <c r="C154" s="299">
        <v>1</v>
      </c>
      <c r="D154" s="304"/>
      <c r="E154" s="304"/>
      <c r="F154" s="304"/>
      <c r="G154" s="305" t="s">
        <v>454</v>
      </c>
      <c r="H154" s="302"/>
      <c r="I154" s="302"/>
      <c r="J154" s="302"/>
      <c r="K154" s="302"/>
      <c r="L154" s="223" t="s">
        <v>563</v>
      </c>
      <c r="M154" s="223" t="s">
        <v>563</v>
      </c>
      <c r="N154" s="223" t="s">
        <v>845</v>
      </c>
      <c r="O154" s="223" t="s">
        <v>845</v>
      </c>
      <c r="P154" s="223" t="s">
        <v>845</v>
      </c>
      <c r="Q154" s="223" t="s">
        <v>845</v>
      </c>
      <c r="R154" s="223" t="s">
        <v>845</v>
      </c>
      <c r="S154" s="223" t="s">
        <v>845</v>
      </c>
      <c r="T154" s="297"/>
    </row>
    <row r="155" spans="1:20" hidden="1">
      <c r="A155" s="384" t="s">
        <v>739</v>
      </c>
      <c r="B155" s="298" t="s">
        <v>282</v>
      </c>
      <c r="C155" s="299">
        <v>1</v>
      </c>
      <c r="D155" s="304"/>
      <c r="E155" s="304"/>
      <c r="F155" s="304"/>
      <c r="G155" s="305" t="s">
        <v>454</v>
      </c>
      <c r="H155" s="302"/>
      <c r="I155" s="302"/>
      <c r="J155" s="302"/>
      <c r="K155" s="302"/>
      <c r="L155" s="223" t="s">
        <v>563</v>
      </c>
      <c r="M155" s="223" t="s">
        <v>563</v>
      </c>
      <c r="N155" s="223" t="s">
        <v>845</v>
      </c>
      <c r="O155" s="223" t="s">
        <v>845</v>
      </c>
      <c r="P155" s="223" t="s">
        <v>845</v>
      </c>
      <c r="Q155" s="223" t="s">
        <v>845</v>
      </c>
      <c r="R155" s="223" t="s">
        <v>845</v>
      </c>
      <c r="S155" s="223" t="s">
        <v>845</v>
      </c>
      <c r="T155" s="297"/>
    </row>
    <row r="156" spans="1:20" ht="14.25" hidden="1" customHeight="1">
      <c r="A156" s="384" t="s">
        <v>802</v>
      </c>
      <c r="B156" s="298" t="s">
        <v>282</v>
      </c>
      <c r="C156" s="299">
        <v>1</v>
      </c>
      <c r="D156" s="304"/>
      <c r="E156" s="304"/>
      <c r="F156" s="304"/>
      <c r="G156" s="305" t="s">
        <v>454</v>
      </c>
      <c r="H156" s="302"/>
      <c r="I156" s="302"/>
      <c r="J156" s="302"/>
      <c r="K156" s="302"/>
      <c r="L156" s="223" t="s">
        <v>563</v>
      </c>
      <c r="M156" s="223" t="s">
        <v>563</v>
      </c>
      <c r="N156" s="223" t="s">
        <v>845</v>
      </c>
      <c r="O156" s="223" t="s">
        <v>845</v>
      </c>
      <c r="P156" s="223" t="s">
        <v>845</v>
      </c>
      <c r="Q156" s="223" t="s">
        <v>845</v>
      </c>
      <c r="R156" s="223" t="s">
        <v>845</v>
      </c>
      <c r="S156" s="223" t="s">
        <v>845</v>
      </c>
      <c r="T156" s="297"/>
    </row>
    <row r="157" spans="1:20" ht="42" hidden="1" customHeight="1">
      <c r="A157" s="384" t="s">
        <v>803</v>
      </c>
      <c r="B157" s="298" t="s">
        <v>282</v>
      </c>
      <c r="C157" s="299">
        <v>1</v>
      </c>
      <c r="D157" s="304"/>
      <c r="E157" s="304"/>
      <c r="F157" s="304"/>
      <c r="G157" s="305" t="s">
        <v>454</v>
      </c>
      <c r="H157" s="302"/>
      <c r="I157" s="302"/>
      <c r="J157" s="302"/>
      <c r="K157" s="302"/>
      <c r="L157" s="223" t="s">
        <v>563</v>
      </c>
      <c r="M157" s="223" t="s">
        <v>563</v>
      </c>
      <c r="N157" s="223" t="s">
        <v>845</v>
      </c>
      <c r="O157" s="223" t="s">
        <v>845</v>
      </c>
      <c r="P157" s="223" t="s">
        <v>845</v>
      </c>
      <c r="Q157" s="223" t="s">
        <v>845</v>
      </c>
      <c r="R157" s="223" t="s">
        <v>845</v>
      </c>
      <c r="S157" s="223" t="s">
        <v>845</v>
      </c>
      <c r="T157" s="297"/>
    </row>
    <row r="158" spans="1:20" ht="18" hidden="1" customHeight="1">
      <c r="A158" s="384" t="s">
        <v>237</v>
      </c>
      <c r="B158" s="298" t="s">
        <v>282</v>
      </c>
      <c r="C158" s="299"/>
      <c r="D158" s="304"/>
      <c r="E158" s="304"/>
      <c r="F158" s="304"/>
      <c r="G158" s="305"/>
      <c r="H158" s="302"/>
      <c r="I158" s="302"/>
      <c r="J158" s="302"/>
      <c r="K158" s="302"/>
      <c r="L158" s="223" t="s">
        <v>563</v>
      </c>
      <c r="M158" s="223" t="s">
        <v>563</v>
      </c>
      <c r="N158" s="223" t="s">
        <v>845</v>
      </c>
      <c r="O158" s="223" t="s">
        <v>845</v>
      </c>
      <c r="P158" s="223" t="s">
        <v>845</v>
      </c>
      <c r="Q158" s="223" t="s">
        <v>845</v>
      </c>
      <c r="R158" s="223" t="s">
        <v>845</v>
      </c>
      <c r="S158" s="223" t="s">
        <v>845</v>
      </c>
      <c r="T158" s="297"/>
    </row>
    <row r="159" spans="1:20" ht="26.25" hidden="1" customHeight="1">
      <c r="A159" s="384" t="s">
        <v>238</v>
      </c>
      <c r="B159" s="298" t="s">
        <v>282</v>
      </c>
      <c r="C159" s="299"/>
      <c r="D159" s="304"/>
      <c r="E159" s="304"/>
      <c r="F159" s="304"/>
      <c r="G159" s="305"/>
      <c r="H159" s="302"/>
      <c r="I159" s="302"/>
      <c r="J159" s="302"/>
      <c r="K159" s="302"/>
      <c r="L159" s="223" t="s">
        <v>563</v>
      </c>
      <c r="M159" s="223" t="s">
        <v>563</v>
      </c>
      <c r="N159" s="226">
        <v>1</v>
      </c>
      <c r="O159" s="226">
        <v>2</v>
      </c>
      <c r="P159" s="226">
        <v>2</v>
      </c>
      <c r="Q159" s="226">
        <v>2</v>
      </c>
      <c r="R159" s="226">
        <v>2</v>
      </c>
      <c r="S159" s="226">
        <v>2</v>
      </c>
      <c r="T159" s="297"/>
    </row>
    <row r="160" spans="1:20" ht="7.5" hidden="1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297"/>
    </row>
    <row r="161" spans="1:20" ht="26.25" customHeight="1">
      <c r="A161" s="408" t="s">
        <v>923</v>
      </c>
      <c r="B161" s="425" t="s">
        <v>282</v>
      </c>
      <c r="C161" s="327"/>
      <c r="D161" s="304"/>
      <c r="E161" s="304"/>
      <c r="F161" s="304"/>
      <c r="G161" s="305"/>
      <c r="H161" s="302"/>
      <c r="I161" s="302"/>
      <c r="J161" s="302"/>
      <c r="K161" s="302"/>
      <c r="L161" s="240">
        <f>14+54</f>
        <v>68</v>
      </c>
      <c r="M161" s="240">
        <f>9+70</f>
        <v>79</v>
      </c>
      <c r="N161" s="241">
        <v>79</v>
      </c>
      <c r="O161" s="241">
        <f>7+62</f>
        <v>69</v>
      </c>
      <c r="P161" s="226">
        <v>154</v>
      </c>
      <c r="Q161" s="226">
        <v>131</v>
      </c>
      <c r="R161" s="226">
        <v>117</v>
      </c>
      <c r="S161" s="226">
        <v>110</v>
      </c>
      <c r="T161" s="328"/>
    </row>
    <row r="162" spans="1:20" ht="14.25" hidden="1" customHeight="1">
      <c r="A162" s="408"/>
      <c r="B162" s="425"/>
      <c r="C162" s="327"/>
      <c r="D162" s="304"/>
      <c r="E162" s="304"/>
      <c r="F162" s="304"/>
      <c r="G162" s="305"/>
      <c r="H162" s="302"/>
      <c r="I162" s="302"/>
      <c r="J162" s="302"/>
      <c r="K162" s="302"/>
      <c r="L162" s="240"/>
      <c r="M162" s="240"/>
      <c r="N162" s="241"/>
      <c r="O162" s="241"/>
      <c r="P162" s="226"/>
      <c r="Q162" s="226">
        <f>Q161-P161</f>
        <v>-23</v>
      </c>
      <c r="R162" s="226">
        <f>R161-Q161</f>
        <v>-14</v>
      </c>
      <c r="S162" s="226">
        <f>S161-Q161</f>
        <v>-21</v>
      </c>
      <c r="T162" s="328"/>
    </row>
    <row r="163" spans="1:20" ht="26.25" customHeight="1">
      <c r="A163" s="409" t="s">
        <v>924</v>
      </c>
      <c r="B163" s="425" t="s">
        <v>925</v>
      </c>
      <c r="C163" s="327"/>
      <c r="D163" s="304"/>
      <c r="E163" s="304"/>
      <c r="F163" s="304"/>
      <c r="G163" s="305"/>
      <c r="H163" s="302"/>
      <c r="I163" s="302"/>
      <c r="J163" s="302"/>
      <c r="K163" s="302"/>
      <c r="L163" s="240"/>
      <c r="M163" s="240"/>
      <c r="N163" s="241"/>
      <c r="O163" s="241"/>
      <c r="P163" s="226">
        <v>243</v>
      </c>
      <c r="Q163" s="226">
        <v>228</v>
      </c>
      <c r="R163" s="226" t="s">
        <v>964</v>
      </c>
      <c r="S163" s="226">
        <v>206</v>
      </c>
      <c r="T163" s="297"/>
    </row>
    <row r="164" spans="1:20" hidden="1">
      <c r="A164" s="395" t="s">
        <v>239</v>
      </c>
      <c r="B164" s="329" t="s">
        <v>676</v>
      </c>
      <c r="C164" s="299">
        <v>1</v>
      </c>
      <c r="D164" s="304"/>
      <c r="E164" s="304"/>
      <c r="F164" s="304"/>
      <c r="G164" s="305" t="s">
        <v>454</v>
      </c>
      <c r="H164" s="302"/>
      <c r="I164" s="302"/>
      <c r="J164" s="302"/>
      <c r="K164" s="302"/>
      <c r="L164" s="228">
        <v>145.30000000000001</v>
      </c>
      <c r="M164" s="228">
        <v>139.6</v>
      </c>
      <c r="N164" s="240">
        <v>137.1</v>
      </c>
      <c r="O164" s="240">
        <v>48.6</v>
      </c>
      <c r="P164" s="223"/>
      <c r="Q164" s="223">
        <v>50</v>
      </c>
      <c r="R164" s="223"/>
      <c r="S164" s="223">
        <v>55</v>
      </c>
      <c r="T164" s="297" t="s">
        <v>895</v>
      </c>
    </row>
    <row r="165" spans="1:20" hidden="1">
      <c r="A165" s="382"/>
      <c r="B165" s="298" t="s">
        <v>677</v>
      </c>
      <c r="C165" s="299">
        <v>1</v>
      </c>
      <c r="D165" s="304"/>
      <c r="E165" s="304"/>
      <c r="F165" s="304"/>
      <c r="G165" s="305" t="s">
        <v>453</v>
      </c>
      <c r="H165" s="302"/>
      <c r="I165" s="302"/>
      <c r="J165" s="302"/>
      <c r="K165" s="302"/>
      <c r="L165" s="240"/>
      <c r="M165" s="240"/>
      <c r="N165" s="240"/>
      <c r="O165" s="240"/>
      <c r="P165" s="223"/>
      <c r="Q165" s="223"/>
      <c r="R165" s="223"/>
      <c r="S165" s="223"/>
      <c r="T165" s="297"/>
    </row>
    <row r="166" spans="1:20" hidden="1">
      <c r="A166" s="382"/>
      <c r="B166" s="298" t="s">
        <v>800</v>
      </c>
      <c r="C166" s="299"/>
      <c r="D166" s="304"/>
      <c r="E166" s="304"/>
      <c r="F166" s="304"/>
      <c r="G166" s="305"/>
      <c r="H166" s="302"/>
      <c r="I166" s="302"/>
      <c r="J166" s="302"/>
      <c r="K166" s="302"/>
      <c r="L166" s="240"/>
      <c r="M166" s="240"/>
      <c r="N166" s="240"/>
      <c r="O166" s="240"/>
      <c r="P166" s="223"/>
      <c r="Q166" s="223"/>
      <c r="R166" s="223"/>
      <c r="S166" s="223"/>
      <c r="T166" s="297"/>
    </row>
    <row r="167" spans="1:20" ht="13.5" hidden="1" customHeight="1">
      <c r="A167" s="382"/>
      <c r="B167" s="298" t="s">
        <v>677</v>
      </c>
      <c r="C167" s="299">
        <v>1</v>
      </c>
      <c r="D167" s="304"/>
      <c r="E167" s="304"/>
      <c r="F167" s="304"/>
      <c r="G167" s="305" t="s">
        <v>453</v>
      </c>
      <c r="H167" s="302"/>
      <c r="I167" s="302"/>
      <c r="J167" s="302"/>
      <c r="K167" s="302"/>
      <c r="L167" s="240"/>
      <c r="M167" s="240"/>
      <c r="N167" s="240"/>
      <c r="O167" s="240"/>
      <c r="P167" s="223"/>
      <c r="Q167" s="223">
        <f>Q163-P163</f>
        <v>-15</v>
      </c>
      <c r="R167" s="223">
        <f>216-Q163</f>
        <v>-12</v>
      </c>
      <c r="S167" s="223">
        <f>S163-Q163</f>
        <v>-22</v>
      </c>
      <c r="T167" s="297"/>
    </row>
    <row r="168" spans="1:20" ht="21" customHeight="1">
      <c r="A168" s="483" t="s">
        <v>965</v>
      </c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5"/>
      <c r="T168" s="297"/>
    </row>
    <row r="169" spans="1:20" ht="15.75" hidden="1" customHeight="1">
      <c r="A169" s="394">
        <v>1</v>
      </c>
      <c r="B169" s="427">
        <v>2</v>
      </c>
      <c r="C169" s="264"/>
      <c r="D169" s="265"/>
      <c r="E169" s="266"/>
      <c r="F169" s="264"/>
      <c r="G169" s="267"/>
      <c r="H169" s="264"/>
      <c r="I169" s="264"/>
      <c r="J169" s="264"/>
      <c r="K169" s="264"/>
      <c r="L169" s="268"/>
      <c r="M169" s="268"/>
      <c r="N169" s="268"/>
      <c r="O169" s="449"/>
      <c r="P169" s="450"/>
      <c r="Q169" s="376"/>
      <c r="R169" s="450"/>
      <c r="S169" s="376">
        <v>3</v>
      </c>
      <c r="T169" s="297"/>
    </row>
    <row r="170" spans="1:20" ht="15.75" hidden="1" customHeight="1">
      <c r="A170" s="394">
        <v>1</v>
      </c>
      <c r="B170" s="394">
        <v>2</v>
      </c>
      <c r="C170" s="432"/>
      <c r="D170" s="433"/>
      <c r="E170" s="434"/>
      <c r="F170" s="432"/>
      <c r="G170" s="435"/>
      <c r="H170" s="432"/>
      <c r="I170" s="432"/>
      <c r="J170" s="432"/>
      <c r="K170" s="432"/>
      <c r="L170" s="436"/>
      <c r="M170" s="436"/>
      <c r="N170" s="436"/>
      <c r="O170" s="437"/>
      <c r="P170" s="437"/>
      <c r="Q170" s="394"/>
      <c r="R170" s="437">
        <v>3</v>
      </c>
      <c r="S170" s="394">
        <v>4</v>
      </c>
      <c r="T170" s="297"/>
    </row>
    <row r="171" spans="1:20" ht="20.25" customHeight="1">
      <c r="A171" s="463" t="s">
        <v>966</v>
      </c>
      <c r="B171" s="464"/>
      <c r="C171" s="464"/>
      <c r="D171" s="464"/>
      <c r="E171" s="464"/>
      <c r="F171" s="464"/>
      <c r="G171" s="464"/>
      <c r="H171" s="464"/>
      <c r="I171" s="464"/>
      <c r="J171" s="464"/>
      <c r="K171" s="464"/>
      <c r="L171" s="464"/>
      <c r="M171" s="464"/>
      <c r="N171" s="464"/>
      <c r="O171" s="464"/>
      <c r="P171" s="464"/>
      <c r="Q171" s="464"/>
      <c r="R171" s="464"/>
      <c r="S171" s="465"/>
      <c r="T171" s="297"/>
    </row>
    <row r="172" spans="1:20" ht="22.5" customHeight="1">
      <c r="A172" s="396" t="s">
        <v>12</v>
      </c>
      <c r="B172" s="330" t="s">
        <v>909</v>
      </c>
      <c r="C172" s="299">
        <v>1</v>
      </c>
      <c r="D172" s="304"/>
      <c r="E172" s="304"/>
      <c r="F172" s="304"/>
      <c r="G172" s="305" t="s">
        <v>454</v>
      </c>
      <c r="H172" s="302"/>
      <c r="I172" s="302"/>
      <c r="J172" s="302"/>
      <c r="K172" s="302"/>
      <c r="L172" s="240">
        <v>204</v>
      </c>
      <c r="M172" s="240">
        <v>107</v>
      </c>
      <c r="N172" s="240">
        <v>97.3</v>
      </c>
      <c r="O172" s="418">
        <v>264.017</v>
      </c>
      <c r="P172" s="223">
        <v>142</v>
      </c>
      <c r="Q172" s="420">
        <v>217.46</v>
      </c>
      <c r="R172" s="223">
        <v>187.69800000000001</v>
      </c>
      <c r="S172" s="257">
        <v>375.4</v>
      </c>
      <c r="T172" s="297"/>
    </row>
    <row r="173" spans="1:20" ht="17.25" hidden="1" customHeight="1">
      <c r="A173" s="396"/>
      <c r="B173" s="330"/>
      <c r="C173" s="299"/>
      <c r="D173" s="304"/>
      <c r="E173" s="304"/>
      <c r="F173" s="304"/>
      <c r="G173" s="305"/>
      <c r="H173" s="302"/>
      <c r="I173" s="302"/>
      <c r="J173" s="302"/>
      <c r="K173" s="302"/>
      <c r="L173" s="240"/>
      <c r="M173" s="240"/>
      <c r="N173" s="240">
        <f>20.9*2</f>
        <v>41.8</v>
      </c>
      <c r="O173" s="240"/>
      <c r="P173" s="223"/>
      <c r="Q173" s="223"/>
      <c r="R173" s="223"/>
      <c r="S173" s="223"/>
      <c r="T173" s="297"/>
    </row>
    <row r="174" spans="1:20" ht="16.5" hidden="1" customHeight="1">
      <c r="A174" s="396" t="s">
        <v>850</v>
      </c>
      <c r="B174" s="330"/>
      <c r="C174" s="299"/>
      <c r="D174" s="304"/>
      <c r="E174" s="304"/>
      <c r="F174" s="304"/>
      <c r="G174" s="305"/>
      <c r="H174" s="302"/>
      <c r="I174" s="302"/>
      <c r="J174" s="302"/>
      <c r="K174" s="302"/>
      <c r="L174" s="240"/>
      <c r="M174" s="240">
        <v>102</v>
      </c>
      <c r="N174" s="240">
        <v>48</v>
      </c>
      <c r="O174" s="240">
        <v>38</v>
      </c>
      <c r="P174" s="223"/>
      <c r="Q174" s="223">
        <v>14.7</v>
      </c>
      <c r="R174" s="223">
        <v>0</v>
      </c>
      <c r="S174" s="223">
        <v>31.5</v>
      </c>
      <c r="T174" s="297"/>
    </row>
    <row r="175" spans="1:20" ht="12.75" hidden="1" customHeight="1">
      <c r="A175" s="396" t="s">
        <v>865</v>
      </c>
      <c r="B175" s="330"/>
      <c r="C175" s="299"/>
      <c r="D175" s="304"/>
      <c r="E175" s="304"/>
      <c r="F175" s="304"/>
      <c r="G175" s="305"/>
      <c r="H175" s="302"/>
      <c r="I175" s="302"/>
      <c r="J175" s="302"/>
      <c r="K175" s="302"/>
      <c r="L175" s="240"/>
      <c r="M175" s="240">
        <v>17.100000000000001</v>
      </c>
      <c r="N175" s="240"/>
      <c r="O175" s="240"/>
      <c r="P175" s="223"/>
      <c r="Q175" s="223"/>
      <c r="R175" s="223"/>
      <c r="S175" s="223"/>
      <c r="T175" s="297"/>
    </row>
    <row r="176" spans="1:20" ht="15.75" hidden="1" customHeight="1">
      <c r="A176" s="396" t="s">
        <v>849</v>
      </c>
      <c r="B176" s="330"/>
      <c r="C176" s="299"/>
      <c r="D176" s="304"/>
      <c r="E176" s="304"/>
      <c r="F176" s="304"/>
      <c r="G176" s="305"/>
      <c r="H176" s="302"/>
      <c r="I176" s="302"/>
      <c r="J176" s="302"/>
      <c r="K176" s="302"/>
      <c r="L176" s="240"/>
      <c r="M176" s="240">
        <v>181</v>
      </c>
      <c r="N176" s="240">
        <v>50.9</v>
      </c>
      <c r="O176" s="240">
        <v>27.2</v>
      </c>
      <c r="P176" s="223"/>
      <c r="Q176" s="223"/>
      <c r="R176" s="223"/>
      <c r="S176" s="223"/>
      <c r="T176" s="297"/>
    </row>
    <row r="177" spans="1:21" ht="16.5" hidden="1" customHeight="1">
      <c r="A177" s="396" t="s">
        <v>866</v>
      </c>
      <c r="B177" s="330"/>
      <c r="C177" s="299"/>
      <c r="D177" s="304"/>
      <c r="E177" s="304"/>
      <c r="F177" s="304"/>
      <c r="G177" s="305"/>
      <c r="H177" s="302"/>
      <c r="I177" s="302"/>
      <c r="J177" s="302"/>
      <c r="K177" s="302"/>
      <c r="L177" s="240"/>
      <c r="M177" s="240">
        <v>3.15</v>
      </c>
      <c r="N177" s="240">
        <v>2.54</v>
      </c>
      <c r="O177" s="240">
        <v>3.03</v>
      </c>
      <c r="P177" s="223"/>
      <c r="Q177" s="223">
        <v>2.17</v>
      </c>
      <c r="R177" s="414"/>
      <c r="S177" s="421">
        <v>3.21</v>
      </c>
      <c r="T177" s="297"/>
    </row>
    <row r="178" spans="1:21" ht="22.5" hidden="1" customHeight="1">
      <c r="A178" s="397" t="s">
        <v>852</v>
      </c>
      <c r="B178" s="330"/>
      <c r="C178" s="299"/>
      <c r="D178" s="304"/>
      <c r="E178" s="304"/>
      <c r="F178" s="304"/>
      <c r="G178" s="305"/>
      <c r="H178" s="302"/>
      <c r="I178" s="302"/>
      <c r="J178" s="302"/>
      <c r="K178" s="302"/>
      <c r="L178" s="240"/>
      <c r="M178" s="240">
        <f>SUM(M174:M177)</f>
        <v>303.25</v>
      </c>
      <c r="N178" s="246">
        <f>SUM(N174:N177)</f>
        <v>101.44000000000001</v>
      </c>
      <c r="O178" s="246">
        <f>SUM(O174:O177)</f>
        <v>68.23</v>
      </c>
      <c r="P178" s="271"/>
      <c r="Q178" s="271">
        <f>SUM(Q174:Q177)</f>
        <v>16.869999999999997</v>
      </c>
      <c r="R178" s="271"/>
      <c r="S178" s="271">
        <f>SUM(S174:S177)</f>
        <v>34.71</v>
      </c>
      <c r="T178" s="297"/>
    </row>
    <row r="179" spans="1:21" ht="22.5" hidden="1" customHeight="1">
      <c r="A179" s="396"/>
      <c r="B179" s="330"/>
      <c r="C179" s="299"/>
      <c r="D179" s="304"/>
      <c r="E179" s="304"/>
      <c r="F179" s="304"/>
      <c r="G179" s="305"/>
      <c r="H179" s="302"/>
      <c r="I179" s="302"/>
      <c r="J179" s="302"/>
      <c r="K179" s="302"/>
      <c r="L179" s="240"/>
      <c r="M179" s="240">
        <f>58.023/8*12</f>
        <v>87.034500000000008</v>
      </c>
      <c r="N179" s="246">
        <f>N178/M178*100</f>
        <v>33.450948062654575</v>
      </c>
      <c r="O179" s="246">
        <f>O178/N178*100</f>
        <v>67.261435331230274</v>
      </c>
      <c r="P179" s="271"/>
      <c r="Q179" s="271">
        <f>Q178/O178*100</f>
        <v>24.725194196101416</v>
      </c>
      <c r="R179" s="271"/>
      <c r="S179" s="271">
        <f>S178/Q178*100</f>
        <v>205.74985180794312</v>
      </c>
      <c r="T179" s="297"/>
    </row>
    <row r="180" spans="1:21" ht="22.5" hidden="1" customHeight="1">
      <c r="A180" s="396"/>
      <c r="B180" s="330"/>
      <c r="C180" s="299"/>
      <c r="D180" s="304"/>
      <c r="E180" s="304"/>
      <c r="F180" s="304"/>
      <c r="G180" s="305"/>
      <c r="H180" s="302"/>
      <c r="I180" s="302"/>
      <c r="J180" s="302"/>
      <c r="K180" s="302"/>
      <c r="L180" s="240"/>
      <c r="M180" s="240">
        <f>58.023/8*12</f>
        <v>87.034500000000008</v>
      </c>
      <c r="N180" s="240">
        <f>0.868/3*12</f>
        <v>3.472</v>
      </c>
      <c r="O180" s="240" t="e">
        <f>O178/O182*100</f>
        <v>#DIV/0!</v>
      </c>
      <c r="P180" s="223"/>
      <c r="Q180" s="223" t="e">
        <f>Q178/Q182*100/O178*100</f>
        <v>#DIV/0!</v>
      </c>
      <c r="R180" s="223"/>
      <c r="S180" s="223">
        <f>S178/S182*100/Q178*100</f>
        <v>191.57341881558949</v>
      </c>
      <c r="T180" s="297"/>
    </row>
    <row r="181" spans="1:21">
      <c r="A181" s="382"/>
      <c r="B181" s="298" t="s">
        <v>677</v>
      </c>
      <c r="C181" s="299">
        <v>1</v>
      </c>
      <c r="D181" s="304"/>
      <c r="E181" s="304"/>
      <c r="F181" s="304"/>
      <c r="G181" s="305" t="s">
        <v>453</v>
      </c>
      <c r="H181" s="302"/>
      <c r="I181" s="302"/>
      <c r="J181" s="302"/>
      <c r="K181" s="302"/>
      <c r="L181" s="240"/>
      <c r="M181" s="240"/>
      <c r="N181" s="240">
        <v>93</v>
      </c>
      <c r="O181" s="240">
        <v>263</v>
      </c>
      <c r="P181" s="223"/>
      <c r="Q181" s="223"/>
      <c r="R181" s="223" t="s">
        <v>845</v>
      </c>
      <c r="S181" s="257">
        <f>S172/S182*100/Q172*100</f>
        <v>160.73505502242668</v>
      </c>
      <c r="T181" s="297"/>
    </row>
    <row r="182" spans="1:21">
      <c r="A182" s="382"/>
      <c r="B182" s="298" t="s">
        <v>800</v>
      </c>
      <c r="C182" s="299">
        <v>1</v>
      </c>
      <c r="D182" s="304"/>
      <c r="E182" s="304"/>
      <c r="F182" s="304"/>
      <c r="G182" s="305" t="s">
        <v>455</v>
      </c>
      <c r="H182" s="302"/>
      <c r="I182" s="302"/>
      <c r="J182" s="302"/>
      <c r="K182" s="302"/>
      <c r="L182" s="240"/>
      <c r="M182" s="240"/>
      <c r="N182" s="240"/>
      <c r="O182" s="240"/>
      <c r="P182" s="223"/>
      <c r="Q182" s="223"/>
      <c r="R182" s="223" t="s">
        <v>845</v>
      </c>
      <c r="S182" s="257">
        <v>107.4</v>
      </c>
      <c r="T182" s="297"/>
    </row>
    <row r="183" spans="1:21" ht="12">
      <c r="A183" s="394">
        <v>1</v>
      </c>
      <c r="B183" s="394">
        <v>2</v>
      </c>
      <c r="C183" s="432"/>
      <c r="D183" s="433"/>
      <c r="E183" s="434"/>
      <c r="F183" s="432"/>
      <c r="G183" s="435"/>
      <c r="H183" s="432"/>
      <c r="I183" s="432"/>
      <c r="J183" s="432"/>
      <c r="K183" s="432"/>
      <c r="L183" s="436"/>
      <c r="M183" s="436"/>
      <c r="N183" s="436"/>
      <c r="O183" s="437"/>
      <c r="P183" s="437"/>
      <c r="Q183" s="394"/>
      <c r="R183" s="437">
        <v>3</v>
      </c>
      <c r="S183" s="394">
        <v>4</v>
      </c>
      <c r="T183" s="297"/>
    </row>
    <row r="184" spans="1:21" ht="15.75" customHeight="1">
      <c r="A184" s="382" t="s">
        <v>531</v>
      </c>
      <c r="B184" s="298"/>
      <c r="C184" s="299"/>
      <c r="D184" s="304"/>
      <c r="E184" s="304"/>
      <c r="F184" s="304"/>
      <c r="G184" s="305"/>
      <c r="H184" s="302"/>
      <c r="I184" s="302"/>
      <c r="J184" s="302"/>
      <c r="K184" s="302"/>
      <c r="L184" s="240"/>
      <c r="M184" s="240"/>
      <c r="N184" s="240"/>
      <c r="O184" s="240"/>
      <c r="P184" s="223"/>
      <c r="Q184" s="223"/>
      <c r="R184" s="223"/>
      <c r="S184" s="223"/>
      <c r="T184" s="297"/>
    </row>
    <row r="185" spans="1:21">
      <c r="A185" s="384" t="s">
        <v>46</v>
      </c>
      <c r="B185" s="330" t="s">
        <v>909</v>
      </c>
      <c r="C185" s="299">
        <v>1</v>
      </c>
      <c r="D185" s="304"/>
      <c r="E185" s="304"/>
      <c r="F185" s="304"/>
      <c r="G185" s="305" t="s">
        <v>454</v>
      </c>
      <c r="H185" s="302"/>
      <c r="I185" s="302"/>
      <c r="J185" s="302"/>
      <c r="K185" s="302"/>
      <c r="L185" s="240">
        <v>142.80000000000001</v>
      </c>
      <c r="M185" s="240">
        <v>73.900000000000006</v>
      </c>
      <c r="N185" s="223" t="s">
        <v>845</v>
      </c>
      <c r="O185" s="223">
        <v>34.200000000000003</v>
      </c>
      <c r="P185" s="223">
        <v>130.6</v>
      </c>
      <c r="Q185" s="224">
        <v>197.661</v>
      </c>
      <c r="R185" s="223">
        <v>184.17500000000001</v>
      </c>
      <c r="S185" s="257">
        <f>S172*98/100</f>
        <v>367.892</v>
      </c>
      <c r="T185" s="413"/>
      <c r="U185" s="257"/>
    </row>
    <row r="186" spans="1:21">
      <c r="A186" s="384" t="s">
        <v>49</v>
      </c>
      <c r="B186" s="330" t="s">
        <v>909</v>
      </c>
      <c r="C186" s="299">
        <v>1</v>
      </c>
      <c r="D186" s="304"/>
      <c r="E186" s="304"/>
      <c r="F186" s="304"/>
      <c r="G186" s="305" t="s">
        <v>454</v>
      </c>
      <c r="H186" s="302"/>
      <c r="I186" s="302"/>
      <c r="J186" s="302"/>
      <c r="K186" s="302"/>
      <c r="L186" s="240">
        <v>59.2</v>
      </c>
      <c r="M186" s="240">
        <v>25.3</v>
      </c>
      <c r="N186" s="223" t="s">
        <v>845</v>
      </c>
      <c r="O186" s="223">
        <v>229.3</v>
      </c>
      <c r="P186" s="223">
        <v>11.4</v>
      </c>
      <c r="Q186" s="414">
        <v>13.276999999999999</v>
      </c>
      <c r="R186" s="223">
        <v>3.5230000000000001</v>
      </c>
      <c r="S186" s="223">
        <f>S172-S185</f>
        <v>7.5079999999999814</v>
      </c>
      <c r="T186" s="297"/>
    </row>
    <row r="187" spans="1:21" ht="39" hidden="1" customHeight="1">
      <c r="A187" s="382" t="s">
        <v>60</v>
      </c>
      <c r="B187" s="298" t="s">
        <v>676</v>
      </c>
      <c r="C187" s="299">
        <v>1</v>
      </c>
      <c r="D187" s="304"/>
      <c r="E187" s="304"/>
      <c r="F187" s="304"/>
      <c r="G187" s="305" t="s">
        <v>454</v>
      </c>
      <c r="H187" s="302"/>
      <c r="I187" s="302"/>
      <c r="J187" s="302"/>
      <c r="K187" s="302"/>
      <c r="L187" s="223" t="s">
        <v>845</v>
      </c>
      <c r="M187" s="223" t="s">
        <v>845</v>
      </c>
      <c r="N187" s="223" t="s">
        <v>845</v>
      </c>
      <c r="O187" s="223" t="s">
        <v>845</v>
      </c>
      <c r="P187" s="223" t="s">
        <v>845</v>
      </c>
      <c r="Q187" s="223" t="s">
        <v>845</v>
      </c>
      <c r="R187" s="223" t="s">
        <v>845</v>
      </c>
      <c r="S187" s="223" t="s">
        <v>845</v>
      </c>
      <c r="T187" s="297"/>
    </row>
    <row r="188" spans="1:21" ht="23.25" customHeight="1">
      <c r="A188" s="398" t="s">
        <v>366</v>
      </c>
      <c r="B188" s="298" t="s">
        <v>240</v>
      </c>
      <c r="C188" s="299"/>
      <c r="D188" s="304"/>
      <c r="E188" s="304"/>
      <c r="F188" s="304"/>
      <c r="G188" s="305"/>
      <c r="H188" s="302"/>
      <c r="I188" s="302"/>
      <c r="J188" s="302"/>
      <c r="K188" s="302"/>
      <c r="L188" s="235">
        <v>1.847</v>
      </c>
      <c r="M188" s="223" t="s">
        <v>563</v>
      </c>
      <c r="N188" s="223" t="s">
        <v>563</v>
      </c>
      <c r="O188" s="223" t="s">
        <v>563</v>
      </c>
      <c r="P188" s="223">
        <v>0</v>
      </c>
      <c r="Q188" s="223">
        <v>0</v>
      </c>
      <c r="R188" s="223">
        <v>0</v>
      </c>
      <c r="S188" s="223">
        <v>0</v>
      </c>
      <c r="T188" s="297"/>
    </row>
    <row r="189" spans="1:21" ht="14.25" customHeight="1">
      <c r="A189" s="398" t="s">
        <v>531</v>
      </c>
      <c r="B189" s="298"/>
      <c r="C189" s="299"/>
      <c r="D189" s="304"/>
      <c r="E189" s="304"/>
      <c r="F189" s="304"/>
      <c r="G189" s="305"/>
      <c r="H189" s="302"/>
      <c r="I189" s="302"/>
      <c r="J189" s="302"/>
      <c r="K189" s="302"/>
      <c r="L189" s="240"/>
      <c r="M189" s="223" t="s">
        <v>563</v>
      </c>
      <c r="N189" s="240"/>
      <c r="O189" s="240"/>
      <c r="P189" s="223"/>
      <c r="Q189" s="223"/>
      <c r="R189" s="223"/>
      <c r="S189" s="223"/>
      <c r="T189" s="297"/>
    </row>
    <row r="190" spans="1:21" ht="15" customHeight="1">
      <c r="A190" s="398" t="s">
        <v>241</v>
      </c>
      <c r="B190" s="298" t="s">
        <v>240</v>
      </c>
      <c r="C190" s="299"/>
      <c r="D190" s="304"/>
      <c r="E190" s="304"/>
      <c r="F190" s="304"/>
      <c r="G190" s="305"/>
      <c r="H190" s="302"/>
      <c r="I190" s="302"/>
      <c r="J190" s="302"/>
      <c r="K190" s="302"/>
      <c r="L190" s="240">
        <v>1.044</v>
      </c>
      <c r="M190" s="223" t="s">
        <v>563</v>
      </c>
      <c r="N190" s="223" t="s">
        <v>563</v>
      </c>
      <c r="O190" s="223" t="s">
        <v>563</v>
      </c>
      <c r="P190" s="223">
        <v>0</v>
      </c>
      <c r="Q190" s="223">
        <v>0</v>
      </c>
      <c r="R190" s="223">
        <v>0</v>
      </c>
      <c r="S190" s="223">
        <v>0</v>
      </c>
      <c r="T190" s="297"/>
    </row>
    <row r="191" spans="1:21" ht="24.75" customHeight="1">
      <c r="A191" s="398" t="s">
        <v>242</v>
      </c>
      <c r="B191" s="298" t="s">
        <v>240</v>
      </c>
      <c r="C191" s="299"/>
      <c r="D191" s="304"/>
      <c r="E191" s="304"/>
      <c r="F191" s="304"/>
      <c r="G191" s="305"/>
      <c r="H191" s="302"/>
      <c r="I191" s="302"/>
      <c r="J191" s="302"/>
      <c r="K191" s="302"/>
      <c r="L191" s="240">
        <v>0.4</v>
      </c>
      <c r="M191" s="223" t="s">
        <v>563</v>
      </c>
      <c r="N191" s="223" t="s">
        <v>563</v>
      </c>
      <c r="O191" s="223" t="s">
        <v>563</v>
      </c>
      <c r="P191" s="223">
        <v>0</v>
      </c>
      <c r="Q191" s="223">
        <v>0</v>
      </c>
      <c r="R191" s="223">
        <v>0</v>
      </c>
      <c r="S191" s="223">
        <v>0</v>
      </c>
      <c r="T191" s="297"/>
    </row>
    <row r="192" spans="1:21" ht="24.75" hidden="1" customHeight="1">
      <c r="A192" s="398" t="s">
        <v>887</v>
      </c>
      <c r="B192" s="298" t="s">
        <v>243</v>
      </c>
      <c r="C192" s="299"/>
      <c r="D192" s="304"/>
      <c r="E192" s="304"/>
      <c r="F192" s="304"/>
      <c r="G192" s="305"/>
      <c r="H192" s="302"/>
      <c r="I192" s="302"/>
      <c r="J192" s="302"/>
      <c r="K192" s="302"/>
      <c r="L192" s="240"/>
      <c r="M192" s="240">
        <f>M193+M194+M195+M196+M197</f>
        <v>104.7</v>
      </c>
      <c r="N192" s="240">
        <v>97.7</v>
      </c>
      <c r="O192" s="240">
        <f>O193+O194+O195+O196+O197</f>
        <v>87.533400000000015</v>
      </c>
      <c r="P192" s="223"/>
      <c r="Q192" s="223">
        <f>Q193+Q194+Q195+Q196+Q197</f>
        <v>85.633400000000009</v>
      </c>
      <c r="R192" s="223"/>
      <c r="S192" s="223">
        <f>S193+S194+S195+S196+S197</f>
        <v>82.233400000000003</v>
      </c>
      <c r="T192" s="297"/>
    </row>
    <row r="193" spans="1:20" ht="15.75" hidden="1" customHeight="1">
      <c r="A193" s="398" t="s">
        <v>120</v>
      </c>
      <c r="B193" s="298"/>
      <c r="C193" s="299"/>
      <c r="D193" s="304"/>
      <c r="E193" s="304"/>
      <c r="F193" s="304"/>
      <c r="G193" s="305"/>
      <c r="H193" s="302"/>
      <c r="I193" s="302"/>
      <c r="J193" s="302"/>
      <c r="K193" s="302"/>
      <c r="L193" s="240"/>
      <c r="M193" s="240">
        <v>45.1</v>
      </c>
      <c r="N193" s="240">
        <v>36.4</v>
      </c>
      <c r="O193" s="240">
        <v>32.200000000000003</v>
      </c>
      <c r="P193" s="223"/>
      <c r="Q193" s="223">
        <v>30.4</v>
      </c>
      <c r="R193" s="223"/>
      <c r="S193" s="223">
        <v>27</v>
      </c>
      <c r="T193" s="297"/>
    </row>
    <row r="194" spans="1:20" ht="16.5" hidden="1" customHeight="1">
      <c r="A194" s="398" t="s">
        <v>855</v>
      </c>
      <c r="B194" s="298"/>
      <c r="C194" s="299"/>
      <c r="D194" s="304"/>
      <c r="E194" s="304"/>
      <c r="F194" s="304"/>
      <c r="G194" s="305"/>
      <c r="H194" s="302"/>
      <c r="I194" s="302"/>
      <c r="J194" s="302"/>
      <c r="K194" s="302"/>
      <c r="L194" s="240"/>
      <c r="M194" s="240">
        <v>27.7</v>
      </c>
      <c r="N194" s="240">
        <v>25.9</v>
      </c>
      <c r="O194" s="240">
        <v>25.5</v>
      </c>
      <c r="P194" s="223"/>
      <c r="Q194" s="223">
        <v>25.4</v>
      </c>
      <c r="R194" s="223"/>
      <c r="S194" s="223">
        <v>25.4</v>
      </c>
      <c r="T194" s="297"/>
    </row>
    <row r="195" spans="1:20" ht="16.5" hidden="1" customHeight="1">
      <c r="A195" s="398" t="s">
        <v>856</v>
      </c>
      <c r="B195" s="298"/>
      <c r="C195" s="299"/>
      <c r="D195" s="304"/>
      <c r="E195" s="304"/>
      <c r="F195" s="304"/>
      <c r="G195" s="305"/>
      <c r="H195" s="302"/>
      <c r="I195" s="302"/>
      <c r="J195" s="302"/>
      <c r="K195" s="302"/>
      <c r="L195" s="240"/>
      <c r="M195" s="240">
        <v>19.3</v>
      </c>
      <c r="N195" s="240">
        <v>19.3</v>
      </c>
      <c r="O195" s="240">
        <v>19.100000000000001</v>
      </c>
      <c r="P195" s="223">
        <v>19.100000000000001</v>
      </c>
      <c r="Q195" s="223">
        <v>19.100000000000001</v>
      </c>
      <c r="R195" s="223"/>
      <c r="S195" s="223">
        <v>19.100000000000001</v>
      </c>
      <c r="T195" s="297"/>
    </row>
    <row r="196" spans="1:20" ht="16.5" hidden="1" customHeight="1">
      <c r="A196" s="398" t="s">
        <v>857</v>
      </c>
      <c r="B196" s="298"/>
      <c r="C196" s="299"/>
      <c r="D196" s="304"/>
      <c r="E196" s="304"/>
      <c r="F196" s="304"/>
      <c r="G196" s="305"/>
      <c r="H196" s="302"/>
      <c r="I196" s="302"/>
      <c r="J196" s="302"/>
      <c r="K196" s="302"/>
      <c r="L196" s="240"/>
      <c r="M196" s="240">
        <v>6.4</v>
      </c>
      <c r="N196" s="240">
        <v>5.6</v>
      </c>
      <c r="O196" s="240">
        <v>6.0334000000000003</v>
      </c>
      <c r="P196" s="223">
        <v>6.0334000000000003</v>
      </c>
      <c r="Q196" s="223">
        <v>6.0334000000000003</v>
      </c>
      <c r="R196" s="223"/>
      <c r="S196" s="223">
        <v>6.0334000000000003</v>
      </c>
      <c r="T196" s="297"/>
    </row>
    <row r="197" spans="1:20" ht="16.5" hidden="1" customHeight="1">
      <c r="A197" s="398" t="s">
        <v>858</v>
      </c>
      <c r="B197" s="298"/>
      <c r="C197" s="299"/>
      <c r="D197" s="304"/>
      <c r="E197" s="304"/>
      <c r="F197" s="304"/>
      <c r="G197" s="305"/>
      <c r="H197" s="302"/>
      <c r="I197" s="302"/>
      <c r="J197" s="302"/>
      <c r="K197" s="302"/>
      <c r="L197" s="240"/>
      <c r="M197" s="240">
        <v>6.2</v>
      </c>
      <c r="N197" s="240">
        <v>5.0999999999999996</v>
      </c>
      <c r="O197" s="240">
        <v>4.7</v>
      </c>
      <c r="P197" s="223">
        <v>4.7</v>
      </c>
      <c r="Q197" s="223">
        <v>4.7</v>
      </c>
      <c r="R197" s="223"/>
      <c r="S197" s="223">
        <v>4.7</v>
      </c>
      <c r="T197" s="297"/>
    </row>
    <row r="198" spans="1:20" ht="16.5" hidden="1" customHeight="1">
      <c r="A198" s="398" t="s">
        <v>852</v>
      </c>
      <c r="B198" s="298"/>
      <c r="C198" s="299"/>
      <c r="D198" s="304"/>
      <c r="E198" s="304"/>
      <c r="F198" s="304"/>
      <c r="G198" s="305"/>
      <c r="H198" s="302"/>
      <c r="I198" s="302"/>
      <c r="J198" s="302"/>
      <c r="K198" s="302"/>
      <c r="L198" s="240"/>
      <c r="M198" s="240"/>
      <c r="N198" s="240"/>
      <c r="O198" s="240"/>
      <c r="P198" s="223"/>
      <c r="Q198" s="223"/>
      <c r="R198" s="223"/>
      <c r="S198" s="223"/>
      <c r="T198" s="297"/>
    </row>
    <row r="199" spans="1:20" ht="14.25" hidden="1" customHeight="1">
      <c r="A199" s="398" t="s">
        <v>531</v>
      </c>
      <c r="B199" s="298"/>
      <c r="C199" s="299"/>
      <c r="D199" s="304"/>
      <c r="E199" s="304"/>
      <c r="F199" s="304"/>
      <c r="G199" s="305"/>
      <c r="H199" s="302"/>
      <c r="I199" s="302"/>
      <c r="J199" s="302"/>
      <c r="K199" s="302"/>
      <c r="L199" s="240"/>
      <c r="M199" s="240"/>
      <c r="N199" s="240"/>
      <c r="O199" s="240"/>
      <c r="P199" s="223"/>
      <c r="Q199" s="223"/>
      <c r="R199" s="223"/>
      <c r="S199" s="223"/>
      <c r="T199" s="297"/>
    </row>
    <row r="200" spans="1:20" ht="24.75" hidden="1" customHeight="1">
      <c r="A200" s="398" t="s">
        <v>888</v>
      </c>
      <c r="B200" s="298" t="s">
        <v>243</v>
      </c>
      <c r="C200" s="299"/>
      <c r="D200" s="304"/>
      <c r="E200" s="304"/>
      <c r="F200" s="304"/>
      <c r="G200" s="305"/>
      <c r="H200" s="302"/>
      <c r="I200" s="302"/>
      <c r="J200" s="302"/>
      <c r="K200" s="302"/>
      <c r="L200" s="240">
        <v>29.2</v>
      </c>
      <c r="M200" s="240">
        <v>28.5</v>
      </c>
      <c r="N200" s="240">
        <v>29.1</v>
      </c>
      <c r="O200" s="240">
        <f>O201+O202+O203+O204+O205</f>
        <v>31.2</v>
      </c>
      <c r="P200" s="223">
        <f>P201+P202+P203+P204+P205</f>
        <v>14.7</v>
      </c>
      <c r="Q200" s="223">
        <f>Q201+Q202+Q203+Q204+Q205</f>
        <v>31.3</v>
      </c>
      <c r="R200" s="223"/>
      <c r="S200" s="223">
        <f>S201+S202+S203+S204+S205</f>
        <v>31.4</v>
      </c>
      <c r="T200" s="297"/>
    </row>
    <row r="201" spans="1:20" ht="16.5" hidden="1" customHeight="1">
      <c r="A201" s="398" t="s">
        <v>120</v>
      </c>
      <c r="B201" s="298"/>
      <c r="C201" s="299"/>
      <c r="D201" s="304"/>
      <c r="E201" s="304"/>
      <c r="F201" s="304"/>
      <c r="G201" s="305"/>
      <c r="H201" s="302"/>
      <c r="I201" s="302"/>
      <c r="J201" s="302"/>
      <c r="K201" s="302"/>
      <c r="L201" s="240"/>
      <c r="M201" s="240">
        <v>0.2</v>
      </c>
      <c r="N201" s="240">
        <v>0.7</v>
      </c>
      <c r="O201" s="240"/>
      <c r="P201" s="223"/>
      <c r="Q201" s="223"/>
      <c r="R201" s="223"/>
      <c r="S201" s="223"/>
      <c r="T201" s="297"/>
    </row>
    <row r="202" spans="1:20" ht="15.75" hidden="1" customHeight="1">
      <c r="A202" s="398" t="s">
        <v>855</v>
      </c>
      <c r="B202" s="298"/>
      <c r="C202" s="299"/>
      <c r="D202" s="304"/>
      <c r="E202" s="304"/>
      <c r="F202" s="304"/>
      <c r="G202" s="305"/>
      <c r="H202" s="302"/>
      <c r="I202" s="302"/>
      <c r="J202" s="302"/>
      <c r="K202" s="302"/>
      <c r="L202" s="240"/>
      <c r="M202" s="240">
        <v>16.7</v>
      </c>
      <c r="N202" s="240">
        <v>16.5</v>
      </c>
      <c r="O202" s="240">
        <v>16.5</v>
      </c>
      <c r="P202" s="223"/>
      <c r="Q202" s="223">
        <v>16.600000000000001</v>
      </c>
      <c r="R202" s="223"/>
      <c r="S202" s="223">
        <v>16.7</v>
      </c>
      <c r="T202" s="297"/>
    </row>
    <row r="203" spans="1:20" ht="15" hidden="1" customHeight="1">
      <c r="A203" s="398" t="s">
        <v>856</v>
      </c>
      <c r="B203" s="298"/>
      <c r="C203" s="299"/>
      <c r="D203" s="304"/>
      <c r="E203" s="304"/>
      <c r="F203" s="304"/>
      <c r="G203" s="305"/>
      <c r="H203" s="302"/>
      <c r="I203" s="302"/>
      <c r="J203" s="302"/>
      <c r="K203" s="302"/>
      <c r="L203" s="240"/>
      <c r="M203" s="240">
        <v>11.2</v>
      </c>
      <c r="N203" s="240">
        <v>11.2</v>
      </c>
      <c r="O203" s="240">
        <v>11.2</v>
      </c>
      <c r="P203" s="223">
        <v>11.2</v>
      </c>
      <c r="Q203" s="223">
        <v>11.2</v>
      </c>
      <c r="R203" s="223"/>
      <c r="S203" s="223">
        <v>11.2</v>
      </c>
      <c r="T203" s="297"/>
    </row>
    <row r="204" spans="1:20" ht="14.25" hidden="1" customHeight="1">
      <c r="A204" s="398" t="s">
        <v>857</v>
      </c>
      <c r="B204" s="298"/>
      <c r="C204" s="299"/>
      <c r="D204" s="304"/>
      <c r="E204" s="304"/>
      <c r="F204" s="304"/>
      <c r="G204" s="305"/>
      <c r="H204" s="302"/>
      <c r="I204" s="302"/>
      <c r="J204" s="302"/>
      <c r="K204" s="302"/>
      <c r="L204" s="240"/>
      <c r="M204" s="240">
        <v>0</v>
      </c>
      <c r="N204" s="240">
        <v>0</v>
      </c>
      <c r="O204" s="240">
        <v>0</v>
      </c>
      <c r="P204" s="223"/>
      <c r="Q204" s="223">
        <v>0</v>
      </c>
      <c r="R204" s="223"/>
      <c r="S204" s="223">
        <v>0</v>
      </c>
      <c r="T204" s="297"/>
    </row>
    <row r="205" spans="1:20" ht="15" hidden="1" customHeight="1">
      <c r="A205" s="398" t="s">
        <v>858</v>
      </c>
      <c r="B205" s="298"/>
      <c r="C205" s="299"/>
      <c r="D205" s="304"/>
      <c r="E205" s="304"/>
      <c r="F205" s="304"/>
      <c r="G205" s="305"/>
      <c r="H205" s="302"/>
      <c r="I205" s="302"/>
      <c r="J205" s="302"/>
      <c r="K205" s="302"/>
      <c r="L205" s="240"/>
      <c r="M205" s="240"/>
      <c r="N205" s="240"/>
      <c r="O205" s="240">
        <v>3.5</v>
      </c>
      <c r="P205" s="223">
        <v>3.5</v>
      </c>
      <c r="Q205" s="223">
        <v>3.5</v>
      </c>
      <c r="R205" s="223"/>
      <c r="S205" s="223">
        <v>3.5</v>
      </c>
      <c r="T205" s="297"/>
    </row>
    <row r="206" spans="1:20" ht="11.25" hidden="1" customHeight="1">
      <c r="A206" s="398" t="s">
        <v>852</v>
      </c>
      <c r="B206" s="298"/>
      <c r="C206" s="299"/>
      <c r="D206" s="304"/>
      <c r="E206" s="304"/>
      <c r="F206" s="304"/>
      <c r="G206" s="305"/>
      <c r="H206" s="302"/>
      <c r="I206" s="302"/>
      <c r="J206" s="302"/>
      <c r="K206" s="302"/>
      <c r="L206" s="240"/>
      <c r="M206" s="240"/>
      <c r="N206" s="240"/>
      <c r="O206" s="240"/>
      <c r="P206" s="223"/>
      <c r="Q206" s="223"/>
      <c r="R206" s="223"/>
      <c r="S206" s="223"/>
      <c r="T206" s="297"/>
    </row>
    <row r="207" spans="1:20" ht="25.5" customHeight="1">
      <c r="A207" s="486" t="s">
        <v>967</v>
      </c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8"/>
      <c r="T207" s="297"/>
    </row>
    <row r="208" spans="1:20" ht="18.75" customHeight="1">
      <c r="A208" s="463" t="s">
        <v>906</v>
      </c>
      <c r="B208" s="464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5"/>
      <c r="T208" s="331"/>
    </row>
    <row r="209" spans="1:20" ht="21.75" hidden="1" customHeight="1">
      <c r="A209" s="388" t="s">
        <v>101</v>
      </c>
      <c r="B209" s="298" t="s">
        <v>593</v>
      </c>
      <c r="C209" s="299">
        <v>1</v>
      </c>
      <c r="D209" s="304"/>
      <c r="E209" s="304"/>
      <c r="F209" s="304"/>
      <c r="G209" s="305" t="s">
        <v>454</v>
      </c>
      <c r="H209" s="302"/>
      <c r="I209" s="302"/>
      <c r="J209" s="302"/>
      <c r="K209" s="302"/>
      <c r="L209" s="223" t="s">
        <v>845</v>
      </c>
      <c r="M209" s="223" t="s">
        <v>845</v>
      </c>
      <c r="N209" s="223" t="s">
        <v>845</v>
      </c>
      <c r="O209" s="223" t="s">
        <v>845</v>
      </c>
      <c r="P209" s="223" t="s">
        <v>845</v>
      </c>
      <c r="Q209" s="223" t="s">
        <v>845</v>
      </c>
      <c r="R209" s="223" t="s">
        <v>845</v>
      </c>
      <c r="S209" s="223" t="s">
        <v>845</v>
      </c>
      <c r="T209" s="331"/>
    </row>
    <row r="210" spans="1:20" ht="18.75" customHeight="1">
      <c r="A210" s="382" t="s">
        <v>422</v>
      </c>
      <c r="B210" s="298" t="s">
        <v>279</v>
      </c>
      <c r="C210" s="299">
        <v>1</v>
      </c>
      <c r="D210" s="304"/>
      <c r="E210" s="304"/>
      <c r="F210" s="304"/>
      <c r="G210" s="305" t="s">
        <v>454</v>
      </c>
      <c r="H210" s="302"/>
      <c r="I210" s="302"/>
      <c r="J210" s="302"/>
      <c r="K210" s="302"/>
      <c r="L210" s="223">
        <v>3.7</v>
      </c>
      <c r="M210" s="223">
        <v>3.9</v>
      </c>
      <c r="N210" s="223">
        <v>2</v>
      </c>
      <c r="O210" s="223">
        <v>2.1</v>
      </c>
      <c r="P210" s="223">
        <v>1.9</v>
      </c>
      <c r="Q210" s="223">
        <v>1.76</v>
      </c>
      <c r="R210" s="223">
        <v>1.1299999999999999</v>
      </c>
      <c r="S210" s="223">
        <v>1.27</v>
      </c>
      <c r="T210" s="297"/>
    </row>
    <row r="211" spans="1:20" s="303" customFormat="1" ht="23.25" customHeight="1">
      <c r="A211" s="382" t="s">
        <v>113</v>
      </c>
      <c r="B211" s="298" t="s">
        <v>593</v>
      </c>
      <c r="C211" s="299">
        <v>1</v>
      </c>
      <c r="D211" s="304"/>
      <c r="E211" s="238"/>
      <c r="F211" s="304"/>
      <c r="G211" s="305" t="s">
        <v>454</v>
      </c>
      <c r="H211" s="302"/>
      <c r="I211" s="302"/>
      <c r="J211" s="302"/>
      <c r="K211" s="302"/>
      <c r="L211" s="223">
        <v>0.35899999999999999</v>
      </c>
      <c r="M211" s="223">
        <v>0.38100000000000001</v>
      </c>
      <c r="N211" s="223">
        <v>0.193</v>
      </c>
      <c r="O211" s="223">
        <v>0.21</v>
      </c>
      <c r="P211" s="245">
        <v>0.13500000000000001</v>
      </c>
      <c r="Q211" s="245">
        <v>0.113</v>
      </c>
      <c r="R211" s="245">
        <v>7.0999999999999994E-2</v>
      </c>
      <c r="S211" s="223">
        <v>0.08</v>
      </c>
      <c r="T211" s="297"/>
    </row>
    <row r="212" spans="1:20" s="303" customFormat="1" ht="24.75" customHeight="1">
      <c r="A212" s="382" t="s">
        <v>115</v>
      </c>
      <c r="B212" s="298" t="s">
        <v>593</v>
      </c>
      <c r="C212" s="299">
        <v>1</v>
      </c>
      <c r="D212" s="304"/>
      <c r="E212" s="304"/>
      <c r="F212" s="304"/>
      <c r="G212" s="305" t="s">
        <v>454</v>
      </c>
      <c r="H212" s="302"/>
      <c r="I212" s="302"/>
      <c r="J212" s="302"/>
      <c r="K212" s="302"/>
      <c r="L212" s="227">
        <v>6.2629999999999999</v>
      </c>
      <c r="M212" s="227">
        <v>5.5250000000000004</v>
      </c>
      <c r="N212" s="248">
        <v>5.3949999999999996</v>
      </c>
      <c r="O212" s="248">
        <v>5.2889999999999997</v>
      </c>
      <c r="P212" s="245">
        <v>4.218</v>
      </c>
      <c r="Q212" s="245">
        <v>4.1500000000000004</v>
      </c>
      <c r="R212" s="245" t="s">
        <v>968</v>
      </c>
      <c r="S212" s="245">
        <f>Q212*98/100</f>
        <v>4.0670000000000002</v>
      </c>
      <c r="T212" s="297"/>
    </row>
    <row r="213" spans="1:20" s="303" customFormat="1" ht="19.5" hidden="1" customHeight="1">
      <c r="A213" s="382"/>
      <c r="B213" s="298"/>
      <c r="C213" s="299"/>
      <c r="D213" s="304"/>
      <c r="E213" s="304"/>
      <c r="F213" s="304"/>
      <c r="G213" s="305"/>
      <c r="H213" s="302"/>
      <c r="I213" s="302"/>
      <c r="J213" s="302"/>
      <c r="K213" s="302"/>
      <c r="L213" s="227"/>
      <c r="M213" s="227"/>
      <c r="N213" s="248"/>
      <c r="O213" s="248"/>
      <c r="P213" s="245"/>
      <c r="Q213" s="245">
        <f>Q212-P212</f>
        <v>-6.7999999999999616E-2</v>
      </c>
      <c r="R213" s="245" t="e">
        <f>R212-Q212</f>
        <v>#VALUE!</v>
      </c>
      <c r="S213" s="223">
        <f>S212-Q212</f>
        <v>-8.3000000000000185E-2</v>
      </c>
      <c r="T213" s="297"/>
    </row>
    <row r="214" spans="1:20" s="303" customFormat="1" ht="15" hidden="1" customHeight="1">
      <c r="A214" s="391" t="s">
        <v>847</v>
      </c>
      <c r="B214" s="298"/>
      <c r="C214" s="299"/>
      <c r="D214" s="304"/>
      <c r="E214" s="304"/>
      <c r="F214" s="304"/>
      <c r="G214" s="305"/>
      <c r="H214" s="302"/>
      <c r="I214" s="302"/>
      <c r="J214" s="302"/>
      <c r="K214" s="302"/>
      <c r="L214" s="227"/>
      <c r="M214" s="227">
        <v>0.92900000000000005</v>
      </c>
      <c r="N214" s="223">
        <v>0.9</v>
      </c>
      <c r="O214" s="223">
        <v>0.85299999999999998</v>
      </c>
      <c r="P214" s="223"/>
      <c r="Q214" s="414">
        <v>0.76500000000000001</v>
      </c>
      <c r="R214" s="245">
        <v>0.746</v>
      </c>
      <c r="S214" s="245">
        <v>0.746</v>
      </c>
      <c r="T214" s="297"/>
    </row>
    <row r="215" spans="1:20" s="303" customFormat="1" ht="15" hidden="1" customHeight="1">
      <c r="A215" s="391" t="s">
        <v>848</v>
      </c>
      <c r="B215" s="298"/>
      <c r="C215" s="299"/>
      <c r="D215" s="304"/>
      <c r="E215" s="304"/>
      <c r="F215" s="304"/>
      <c r="G215" s="305"/>
      <c r="H215" s="302"/>
      <c r="I215" s="302"/>
      <c r="J215" s="302"/>
      <c r="K215" s="302"/>
      <c r="L215" s="227"/>
      <c r="M215" s="227">
        <v>1.139</v>
      </c>
      <c r="N215" s="223">
        <v>1.131</v>
      </c>
      <c r="O215" s="223">
        <v>1.129</v>
      </c>
      <c r="P215" s="223"/>
      <c r="Q215" s="245">
        <v>1.113</v>
      </c>
      <c r="R215" s="245">
        <v>1.1014999999999999</v>
      </c>
      <c r="S215" s="245">
        <v>1.1140000000000001</v>
      </c>
      <c r="T215" s="297"/>
    </row>
    <row r="216" spans="1:20" s="303" customFormat="1" ht="15" hidden="1" customHeight="1">
      <c r="A216" s="391" t="s">
        <v>849</v>
      </c>
      <c r="B216" s="298"/>
      <c r="C216" s="299"/>
      <c r="D216" s="304"/>
      <c r="E216" s="304"/>
      <c r="F216" s="304"/>
      <c r="G216" s="305"/>
      <c r="H216" s="302"/>
      <c r="I216" s="302"/>
      <c r="J216" s="302"/>
      <c r="K216" s="302"/>
      <c r="L216" s="227"/>
      <c r="M216" s="256">
        <v>0.14699999999999999</v>
      </c>
      <c r="N216" s="245">
        <f>0.112</f>
        <v>0.112</v>
      </c>
      <c r="O216" s="245">
        <v>0.10199999999999999</v>
      </c>
      <c r="P216" s="245"/>
      <c r="Q216" s="245">
        <v>8.2000000000000003E-2</v>
      </c>
      <c r="R216" s="245">
        <v>6.8000000000000005E-2</v>
      </c>
      <c r="S216" s="245">
        <v>6.8000000000000005E-2</v>
      </c>
      <c r="T216" s="332"/>
    </row>
    <row r="217" spans="1:20" s="303" customFormat="1" ht="15" hidden="1" customHeight="1">
      <c r="A217" s="391" t="s">
        <v>850</v>
      </c>
      <c r="B217" s="298"/>
      <c r="C217" s="299"/>
      <c r="D217" s="304"/>
      <c r="E217" s="304"/>
      <c r="F217" s="304"/>
      <c r="G217" s="305"/>
      <c r="H217" s="302"/>
      <c r="I217" s="302"/>
      <c r="J217" s="302"/>
      <c r="K217" s="302"/>
      <c r="L217" s="227"/>
      <c r="M217" s="256">
        <v>0.32600000000000001</v>
      </c>
      <c r="N217" s="223">
        <v>0.32</v>
      </c>
      <c r="O217" s="223">
        <v>0.26</v>
      </c>
      <c r="P217" s="223"/>
      <c r="Q217" s="223"/>
      <c r="R217" s="223"/>
      <c r="S217" s="223"/>
      <c r="T217" s="333"/>
    </row>
    <row r="218" spans="1:20" s="303" customFormat="1" ht="15" hidden="1" customHeight="1">
      <c r="A218" s="391" t="s">
        <v>938</v>
      </c>
      <c r="B218" s="298"/>
      <c r="C218" s="299"/>
      <c r="D218" s="304"/>
      <c r="E218" s="304"/>
      <c r="F218" s="304"/>
      <c r="G218" s="305"/>
      <c r="H218" s="302"/>
      <c r="I218" s="302"/>
      <c r="J218" s="302"/>
      <c r="K218" s="302"/>
      <c r="L218" s="227"/>
      <c r="M218" s="256">
        <v>0.11</v>
      </c>
      <c r="N218" s="227">
        <v>0.113</v>
      </c>
      <c r="O218" s="227">
        <f>98/1000</f>
        <v>9.8000000000000004E-2</v>
      </c>
      <c r="P218" s="227"/>
      <c r="Q218" s="227">
        <v>0.23699999999999999</v>
      </c>
      <c r="R218" s="227">
        <v>0.24299999999999999</v>
      </c>
      <c r="S218" s="227">
        <v>0.24299999999999999</v>
      </c>
      <c r="T218" s="297"/>
    </row>
    <row r="219" spans="1:20" s="303" customFormat="1" ht="15" hidden="1" customHeight="1">
      <c r="A219" s="382"/>
      <c r="B219" s="298"/>
      <c r="C219" s="299"/>
      <c r="D219" s="304"/>
      <c r="E219" s="304"/>
      <c r="F219" s="304"/>
      <c r="G219" s="305"/>
      <c r="H219" s="302"/>
      <c r="I219" s="302"/>
      <c r="J219" s="302"/>
      <c r="K219" s="302"/>
      <c r="L219" s="227"/>
      <c r="M219" s="227">
        <f>SUM(M214:M218)</f>
        <v>2.6509999999999998</v>
      </c>
      <c r="N219" s="227">
        <f t="shared" ref="N219:S219" si="1">SUM(N214:N218)</f>
        <v>2.5760000000000001</v>
      </c>
      <c r="O219" s="227">
        <f t="shared" si="1"/>
        <v>2.4420000000000002</v>
      </c>
      <c r="P219" s="227"/>
      <c r="Q219" s="227">
        <f>SUM(Q214:Q218)</f>
        <v>2.1970000000000001</v>
      </c>
      <c r="R219" s="227">
        <f>SUM(R214:R218)</f>
        <v>2.1585000000000001</v>
      </c>
      <c r="S219" s="227">
        <f t="shared" si="1"/>
        <v>2.1710000000000003</v>
      </c>
      <c r="T219" s="297"/>
    </row>
    <row r="220" spans="1:20" s="303" customFormat="1" ht="15" hidden="1" customHeight="1">
      <c r="A220" s="382" t="s">
        <v>851</v>
      </c>
      <c r="B220" s="298"/>
      <c r="C220" s="299"/>
      <c r="D220" s="304"/>
      <c r="E220" s="304"/>
      <c r="F220" s="304"/>
      <c r="G220" s="305"/>
      <c r="H220" s="302"/>
      <c r="I220" s="302"/>
      <c r="J220" s="302"/>
      <c r="K220" s="302"/>
      <c r="L220" s="227"/>
      <c r="M220" s="227">
        <f>M219+1.83</f>
        <v>4.4809999999999999</v>
      </c>
      <c r="N220" s="227">
        <f>(N250+N270)/1000+N219+0.255+0.24</f>
        <v>4.1890000000000001</v>
      </c>
      <c r="O220" s="227">
        <v>1130</v>
      </c>
      <c r="P220" s="227"/>
      <c r="Q220" s="227">
        <f>Q250/1000</f>
        <v>0</v>
      </c>
      <c r="R220" s="227">
        <f>R250/1000</f>
        <v>0</v>
      </c>
      <c r="S220" s="227">
        <f>S250/1000</f>
        <v>0</v>
      </c>
      <c r="T220" s="297"/>
    </row>
    <row r="221" spans="1:20" s="303" customFormat="1" ht="15" hidden="1" customHeight="1">
      <c r="A221" s="382"/>
      <c r="B221" s="298"/>
      <c r="C221" s="299"/>
      <c r="D221" s="304"/>
      <c r="E221" s="304"/>
      <c r="F221" s="304"/>
      <c r="G221" s="305"/>
      <c r="H221" s="302"/>
      <c r="I221" s="302"/>
      <c r="J221" s="302"/>
      <c r="K221" s="302"/>
      <c r="L221" s="227"/>
      <c r="M221" s="227"/>
      <c r="N221" s="227"/>
      <c r="O221" s="227"/>
      <c r="P221" s="227"/>
      <c r="Q221" s="227">
        <f>Q219+Q220</f>
        <v>2.1970000000000001</v>
      </c>
      <c r="R221" s="227">
        <f>R219+R220</f>
        <v>2.1585000000000001</v>
      </c>
      <c r="S221" s="227">
        <f>S219+S220</f>
        <v>2.1710000000000003</v>
      </c>
      <c r="T221" s="297"/>
    </row>
    <row r="222" spans="1:20" s="303" customFormat="1" ht="17.25" hidden="1" customHeight="1">
      <c r="A222" s="382"/>
      <c r="B222" s="298"/>
      <c r="C222" s="299"/>
      <c r="D222" s="304"/>
      <c r="E222" s="304"/>
      <c r="F222" s="304"/>
      <c r="G222" s="305"/>
      <c r="H222" s="302"/>
      <c r="I222" s="302"/>
      <c r="J222" s="302"/>
      <c r="K222" s="302"/>
      <c r="L222" s="227"/>
      <c r="M222" s="229"/>
      <c r="N222" s="240">
        <f>N219-M219</f>
        <v>-7.4999999999999734E-2</v>
      </c>
      <c r="O222" s="240">
        <f>2.44-2.58</f>
        <v>-0.14000000000000012</v>
      </c>
      <c r="P222" s="223"/>
      <c r="Q222" s="223">
        <f>Q212/P212*100</f>
        <v>98.387861545756294</v>
      </c>
      <c r="R222" s="223"/>
      <c r="S222" s="223">
        <v>98</v>
      </c>
      <c r="T222" s="297"/>
    </row>
    <row r="223" spans="1:20" s="303" customFormat="1" ht="17.25" hidden="1" customHeight="1">
      <c r="A223" s="382"/>
      <c r="B223" s="298"/>
      <c r="C223" s="327"/>
      <c r="D223" s="304"/>
      <c r="E223" s="304"/>
      <c r="F223" s="304"/>
      <c r="G223" s="305"/>
      <c r="H223" s="302"/>
      <c r="I223" s="302"/>
      <c r="J223" s="302"/>
      <c r="K223" s="302"/>
      <c r="L223" s="227"/>
      <c r="M223" s="229"/>
      <c r="N223" s="240"/>
      <c r="O223" s="240"/>
      <c r="P223" s="223"/>
      <c r="Q223" s="223">
        <f>Q212-P212</f>
        <v>-6.7999999999999616E-2</v>
      </c>
      <c r="R223" s="223">
        <f>4.079-Q212</f>
        <v>-7.1000000000000618E-2</v>
      </c>
      <c r="S223" s="223">
        <f>S212/Q212*100</f>
        <v>98</v>
      </c>
      <c r="T223" s="297"/>
    </row>
    <row r="224" spans="1:20" s="303" customFormat="1" ht="16.5" customHeight="1">
      <c r="A224" s="408" t="s">
        <v>926</v>
      </c>
      <c r="B224" s="425" t="s">
        <v>593</v>
      </c>
      <c r="C224" s="327"/>
      <c r="D224" s="304"/>
      <c r="E224" s="304"/>
      <c r="F224" s="304"/>
      <c r="G224" s="305"/>
      <c r="H224" s="302"/>
      <c r="I224" s="302"/>
      <c r="J224" s="302"/>
      <c r="K224" s="302"/>
      <c r="L224" s="227"/>
      <c r="M224" s="229"/>
      <c r="N224" s="240"/>
      <c r="O224" s="240">
        <f>1+2+3+14+5+2</f>
        <v>27</v>
      </c>
      <c r="P224" s="251">
        <v>6.6</v>
      </c>
      <c r="Q224" s="223">
        <v>6.3540000000000001</v>
      </c>
      <c r="R224" s="223" t="s">
        <v>942</v>
      </c>
      <c r="S224" s="223">
        <v>6</v>
      </c>
      <c r="T224" s="297"/>
    </row>
    <row r="225" spans="1:20" ht="17.25" customHeight="1">
      <c r="A225" s="399" t="s">
        <v>116</v>
      </c>
      <c r="B225" s="329" t="s">
        <v>353</v>
      </c>
      <c r="C225" s="299">
        <v>1</v>
      </c>
      <c r="D225" s="304"/>
      <c r="E225" s="304"/>
      <c r="F225" s="304"/>
      <c r="G225" s="305" t="s">
        <v>454</v>
      </c>
      <c r="H225" s="302"/>
      <c r="I225" s="302"/>
      <c r="J225" s="302"/>
      <c r="K225" s="302"/>
      <c r="L225" s="223">
        <v>1909.9490000000001</v>
      </c>
      <c r="M225" s="230">
        <v>2009.491</v>
      </c>
      <c r="N225" s="238">
        <v>2186.0790000000002</v>
      </c>
      <c r="O225" s="240">
        <f>2401.396</f>
        <v>2401.3960000000002</v>
      </c>
      <c r="P225" s="223">
        <f>60670*12*P212/1000</f>
        <v>3070.8727200000003</v>
      </c>
      <c r="Q225" s="223">
        <f>63152*Q212*12/1000</f>
        <v>3144.9695999999999</v>
      </c>
      <c r="R225" s="223" t="s">
        <v>969</v>
      </c>
      <c r="S225" s="223">
        <v>3353.14</v>
      </c>
      <c r="T225" s="297"/>
    </row>
    <row r="226" spans="1:20" ht="17.25" hidden="1" customHeight="1">
      <c r="A226" s="391" t="s">
        <v>848</v>
      </c>
      <c r="B226" s="329"/>
      <c r="C226" s="299"/>
      <c r="D226" s="304"/>
      <c r="E226" s="304"/>
      <c r="F226" s="304"/>
      <c r="G226" s="305"/>
      <c r="H226" s="302"/>
      <c r="I226" s="302"/>
      <c r="J226" s="302"/>
      <c r="K226" s="302"/>
      <c r="L226" s="223"/>
      <c r="M226" s="230"/>
      <c r="N226" s="238"/>
      <c r="O226" s="240"/>
      <c r="P226" s="223"/>
      <c r="Q226" s="223">
        <v>1073.4000000000001</v>
      </c>
      <c r="R226" s="223">
        <v>825.8</v>
      </c>
      <c r="S226" s="257">
        <v>1106.7</v>
      </c>
      <c r="T226" s="297"/>
    </row>
    <row r="227" spans="1:20" ht="17.25" hidden="1" customHeight="1">
      <c r="A227" s="391" t="s">
        <v>939</v>
      </c>
      <c r="B227" s="329"/>
      <c r="C227" s="299"/>
      <c r="D227" s="304"/>
      <c r="E227" s="304"/>
      <c r="F227" s="304"/>
      <c r="G227" s="305"/>
      <c r="H227" s="302"/>
      <c r="I227" s="302"/>
      <c r="J227" s="302"/>
      <c r="K227" s="302"/>
      <c r="L227" s="223"/>
      <c r="M227" s="230"/>
      <c r="N227" s="238"/>
      <c r="O227" s="240"/>
      <c r="P227" s="223"/>
      <c r="Q227" s="223">
        <v>76.099999999999994</v>
      </c>
      <c r="R227" s="223">
        <v>44.1</v>
      </c>
      <c r="S227" s="257">
        <v>79.14</v>
      </c>
      <c r="T227" s="297"/>
    </row>
    <row r="228" spans="1:20" ht="17.25" hidden="1" customHeight="1">
      <c r="A228" s="399" t="s">
        <v>947</v>
      </c>
      <c r="B228" s="329"/>
      <c r="C228" s="299"/>
      <c r="D228" s="304"/>
      <c r="E228" s="304"/>
      <c r="F228" s="304"/>
      <c r="G228" s="305"/>
      <c r="H228" s="302"/>
      <c r="I228" s="302"/>
      <c r="J228" s="302"/>
      <c r="K228" s="302"/>
      <c r="L228" s="223"/>
      <c r="M228" s="230"/>
      <c r="N228" s="238"/>
      <c r="O228" s="240"/>
      <c r="P228" s="223"/>
      <c r="Q228" s="223">
        <f>Q226+Q227</f>
        <v>1149.5</v>
      </c>
      <c r="R228" s="223">
        <f>R226+R227</f>
        <v>869.9</v>
      </c>
      <c r="S228" s="223">
        <f>S226+S227</f>
        <v>1185.8400000000001</v>
      </c>
      <c r="T228" s="297"/>
    </row>
    <row r="229" spans="1:20" ht="17.25" hidden="1" customHeight="1">
      <c r="A229" s="399"/>
      <c r="B229" s="329"/>
      <c r="C229" s="299"/>
      <c r="D229" s="304"/>
      <c r="E229" s="304"/>
      <c r="F229" s="304"/>
      <c r="G229" s="305"/>
      <c r="H229" s="302"/>
      <c r="I229" s="302"/>
      <c r="J229" s="302"/>
      <c r="K229" s="302"/>
      <c r="L229" s="223"/>
      <c r="M229" s="230"/>
      <c r="N229" s="238"/>
      <c r="O229" s="240"/>
      <c r="P229" s="223"/>
      <c r="Q229" s="223"/>
      <c r="R229" s="223"/>
      <c r="S229" s="257">
        <f>S228/Q228*100</f>
        <v>103.16137451065681</v>
      </c>
      <c r="T229" s="297"/>
    </row>
    <row r="230" spans="1:20" ht="34.5" customHeight="1">
      <c r="A230" s="383" t="s">
        <v>953</v>
      </c>
      <c r="B230" s="298" t="s">
        <v>353</v>
      </c>
      <c r="C230" s="334"/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334"/>
      <c r="O230" s="335"/>
      <c r="P230" s="378"/>
      <c r="Q230" s="378">
        <f>Q232+Q233+Q234+Q235</f>
        <v>290.47000000000003</v>
      </c>
      <c r="R230" s="378">
        <f>R232+R233+R234+R235</f>
        <v>202.07000000000002</v>
      </c>
      <c r="S230" s="378">
        <f>S232+S233+S234+S235</f>
        <v>295.97999999999996</v>
      </c>
      <c r="T230" s="297"/>
    </row>
    <row r="231" spans="1:20" ht="18" hidden="1" customHeight="1">
      <c r="A231" s="398" t="s">
        <v>917</v>
      </c>
      <c r="B231" s="298"/>
      <c r="C231" s="334"/>
      <c r="D231" s="334"/>
      <c r="E231" s="334"/>
      <c r="F231" s="334"/>
      <c r="G231" s="334"/>
      <c r="H231" s="334"/>
      <c r="I231" s="334"/>
      <c r="J231" s="334"/>
      <c r="K231" s="334"/>
      <c r="L231" s="334"/>
      <c r="M231" s="334"/>
      <c r="N231" s="334"/>
      <c r="O231" s="335"/>
      <c r="P231" s="378"/>
      <c r="Q231" s="378"/>
      <c r="R231" s="378"/>
      <c r="S231" s="378"/>
      <c r="T231" s="297"/>
    </row>
    <row r="232" spans="1:20" ht="15.75" hidden="1" customHeight="1">
      <c r="A232" s="398" t="s">
        <v>79</v>
      </c>
      <c r="B232" s="298"/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334"/>
      <c r="O232" s="335"/>
      <c r="P232" s="378"/>
      <c r="Q232" s="378">
        <f>116.12+40.74+33.61</f>
        <v>190.47000000000003</v>
      </c>
      <c r="R232" s="378">
        <f>83.52+32.29+21.86</f>
        <v>137.67000000000002</v>
      </c>
      <c r="S232" s="378">
        <f>120.98+45.6+32.8</f>
        <v>199.38</v>
      </c>
      <c r="T232" s="297"/>
    </row>
    <row r="233" spans="1:20" ht="15.75" hidden="1" customHeight="1">
      <c r="A233" s="398" t="s">
        <v>862</v>
      </c>
      <c r="B233" s="298"/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334"/>
      <c r="O233" s="335"/>
      <c r="P233" s="378"/>
      <c r="Q233" s="378">
        <v>46.6</v>
      </c>
      <c r="R233" s="378">
        <v>32.799999999999997</v>
      </c>
      <c r="S233" s="378">
        <v>49.2</v>
      </c>
      <c r="T233" s="297"/>
    </row>
    <row r="234" spans="1:20" ht="15.75" hidden="1" customHeight="1">
      <c r="A234" s="398" t="s">
        <v>936</v>
      </c>
      <c r="B234" s="298"/>
      <c r="C234" s="334"/>
      <c r="D234" s="334"/>
      <c r="E234" s="334"/>
      <c r="F234" s="334"/>
      <c r="G234" s="334"/>
      <c r="H234" s="334"/>
      <c r="I234" s="334"/>
      <c r="J234" s="334"/>
      <c r="K234" s="334"/>
      <c r="L234" s="334"/>
      <c r="M234" s="334"/>
      <c r="N234" s="334"/>
      <c r="O234" s="335"/>
      <c r="P234" s="378"/>
      <c r="Q234" s="378">
        <v>46.1</v>
      </c>
      <c r="R234" s="378">
        <v>31.6</v>
      </c>
      <c r="S234" s="223">
        <v>47.4</v>
      </c>
      <c r="T234" s="297"/>
    </row>
    <row r="235" spans="1:20" ht="15.75" hidden="1" customHeight="1">
      <c r="A235" s="398" t="s">
        <v>937</v>
      </c>
      <c r="B235" s="298"/>
      <c r="C235" s="334"/>
      <c r="D235" s="334"/>
      <c r="E235" s="334"/>
      <c r="F235" s="334"/>
      <c r="G235" s="334"/>
      <c r="H235" s="334"/>
      <c r="I235" s="334"/>
      <c r="J235" s="334"/>
      <c r="K235" s="334"/>
      <c r="L235" s="334"/>
      <c r="M235" s="334"/>
      <c r="N235" s="334"/>
      <c r="O235" s="335"/>
      <c r="P235" s="378"/>
      <c r="Q235" s="378">
        <v>7.3</v>
      </c>
      <c r="R235" s="378">
        <v>0</v>
      </c>
      <c r="S235" s="223">
        <v>0</v>
      </c>
      <c r="T235" s="297"/>
    </row>
    <row r="236" spans="1:20" ht="15.75" hidden="1" customHeight="1">
      <c r="A236" s="398" t="s">
        <v>871</v>
      </c>
      <c r="B236" s="298"/>
      <c r="C236" s="334"/>
      <c r="D236" s="334"/>
      <c r="E236" s="334"/>
      <c r="F236" s="334"/>
      <c r="G236" s="334"/>
      <c r="H236" s="334"/>
      <c r="I236" s="334"/>
      <c r="J236" s="334"/>
      <c r="K236" s="334"/>
      <c r="L236" s="334"/>
      <c r="M236" s="334"/>
      <c r="N236" s="334"/>
      <c r="O236" s="335"/>
      <c r="P236" s="378"/>
      <c r="Q236" s="378"/>
      <c r="R236" s="378"/>
      <c r="S236" s="378"/>
      <c r="T236" s="297"/>
    </row>
    <row r="237" spans="1:20" ht="15.75" hidden="1" customHeight="1">
      <c r="A237" s="398" t="s">
        <v>943</v>
      </c>
      <c r="B237" s="298"/>
      <c r="C237" s="334"/>
      <c r="D237" s="334"/>
      <c r="E237" s="334"/>
      <c r="F237" s="334"/>
      <c r="G237" s="334"/>
      <c r="H237" s="334"/>
      <c r="I237" s="334"/>
      <c r="J237" s="334"/>
      <c r="K237" s="334"/>
      <c r="L237" s="334"/>
      <c r="M237" s="334"/>
      <c r="N237" s="334"/>
      <c r="O237" s="335"/>
      <c r="P237" s="378"/>
      <c r="Q237" s="378"/>
      <c r="R237" s="378"/>
      <c r="S237" s="378"/>
      <c r="T237" s="297"/>
    </row>
    <row r="238" spans="1:20" ht="15.75" hidden="1" customHeight="1">
      <c r="A238" s="398"/>
      <c r="B238" s="298"/>
      <c r="C238" s="334"/>
      <c r="D238" s="334"/>
      <c r="E238" s="334"/>
      <c r="F238" s="334"/>
      <c r="G238" s="334"/>
      <c r="H238" s="334"/>
      <c r="I238" s="334"/>
      <c r="J238" s="334"/>
      <c r="K238" s="334"/>
      <c r="L238" s="334"/>
      <c r="M238" s="334"/>
      <c r="N238" s="334"/>
      <c r="O238" s="335"/>
      <c r="P238" s="378"/>
      <c r="Q238" s="378"/>
      <c r="R238" s="378"/>
      <c r="S238" s="378"/>
      <c r="T238" s="297"/>
    </row>
    <row r="239" spans="1:20" ht="15.75" hidden="1" customHeight="1">
      <c r="A239" s="398"/>
      <c r="B239" s="298"/>
      <c r="C239" s="334"/>
      <c r="D239" s="334"/>
      <c r="E239" s="334"/>
      <c r="F239" s="334"/>
      <c r="G239" s="334"/>
      <c r="H239" s="334"/>
      <c r="I239" s="334"/>
      <c r="J239" s="334"/>
      <c r="K239" s="334"/>
      <c r="L239" s="334"/>
      <c r="M239" s="334"/>
      <c r="N239" s="334"/>
      <c r="O239" s="335"/>
      <c r="P239" s="378"/>
      <c r="Q239" s="378"/>
      <c r="R239" s="378"/>
      <c r="S239" s="378"/>
      <c r="T239" s="297"/>
    </row>
    <row r="240" spans="1:20" ht="15.75" hidden="1" customHeight="1">
      <c r="A240" s="398"/>
      <c r="B240" s="298"/>
      <c r="C240" s="334"/>
      <c r="D240" s="334"/>
      <c r="E240" s="334"/>
      <c r="F240" s="334"/>
      <c r="G240" s="334"/>
      <c r="H240" s="334"/>
      <c r="I240" s="334"/>
      <c r="J240" s="334"/>
      <c r="K240" s="334"/>
      <c r="L240" s="334"/>
      <c r="M240" s="334"/>
      <c r="N240" s="334"/>
      <c r="O240" s="335"/>
      <c r="P240" s="378"/>
      <c r="Q240" s="378"/>
      <c r="R240" s="378"/>
      <c r="S240" s="378"/>
      <c r="T240" s="297"/>
    </row>
    <row r="241" spans="1:21" ht="46.5" customHeight="1">
      <c r="A241" s="383" t="s">
        <v>949</v>
      </c>
      <c r="B241" s="298" t="s">
        <v>279</v>
      </c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334"/>
      <c r="O241" s="335"/>
      <c r="P241" s="378"/>
      <c r="Q241" s="381">
        <f>Q230/238.9*100</f>
        <v>121.58643784010046</v>
      </c>
      <c r="R241" s="377">
        <f>R230/185.2*100</f>
        <v>109.10907127429807</v>
      </c>
      <c r="S241" s="377">
        <f>S230/Q230*100</f>
        <v>101.89692567218643</v>
      </c>
      <c r="T241" s="297"/>
    </row>
    <row r="242" spans="1:21" ht="39.75" customHeight="1">
      <c r="A242" s="398" t="s">
        <v>950</v>
      </c>
      <c r="B242" s="298" t="s">
        <v>593</v>
      </c>
      <c r="C242" s="336"/>
      <c r="D242" s="337"/>
      <c r="E242" s="337"/>
      <c r="F242" s="337"/>
      <c r="G242" s="338"/>
      <c r="H242" s="339"/>
      <c r="I242" s="339"/>
      <c r="J242" s="339"/>
      <c r="K242" s="339"/>
      <c r="L242" s="270">
        <v>1.833</v>
      </c>
      <c r="M242" s="271"/>
      <c r="N242" s="271"/>
      <c r="O242" s="271"/>
      <c r="P242" s="271"/>
      <c r="Q242" s="223">
        <f>0.59+0.082+0.091</f>
        <v>0.7629999999999999</v>
      </c>
      <c r="R242" s="223">
        <f>(305.4+92.7+149.4+91+79)/1000</f>
        <v>0.71750000000000003</v>
      </c>
      <c r="S242" s="223">
        <f>(298.7+93+148.5+92+79)/1000</f>
        <v>0.71120000000000005</v>
      </c>
      <c r="T242" s="236"/>
      <c r="U242" s="236"/>
    </row>
    <row r="243" spans="1:21" ht="14.25" hidden="1" customHeight="1">
      <c r="A243" s="398" t="s">
        <v>917</v>
      </c>
      <c r="B243" s="298"/>
      <c r="C243" s="299"/>
      <c r="D243" s="304"/>
      <c r="E243" s="304"/>
      <c r="F243" s="304"/>
      <c r="G243" s="305"/>
      <c r="H243" s="302"/>
      <c r="I243" s="302"/>
      <c r="J243" s="302"/>
      <c r="K243" s="302"/>
      <c r="L243" s="228"/>
      <c r="M243" s="240">
        <v>8</v>
      </c>
      <c r="N243" s="240">
        <v>8</v>
      </c>
      <c r="O243" s="240">
        <v>8</v>
      </c>
      <c r="P243" s="223"/>
      <c r="Q243" s="223"/>
      <c r="R243" s="223"/>
      <c r="S243" s="248"/>
      <c r="T243" s="331"/>
    </row>
    <row r="244" spans="1:21" ht="14.25" hidden="1" customHeight="1">
      <c r="A244" s="398" t="s">
        <v>79</v>
      </c>
      <c r="B244" s="298"/>
      <c r="C244" s="299"/>
      <c r="D244" s="304"/>
      <c r="E244" s="304"/>
      <c r="F244" s="304"/>
      <c r="G244" s="305"/>
      <c r="H244" s="302"/>
      <c r="I244" s="302"/>
      <c r="J244" s="302"/>
      <c r="K244" s="302"/>
      <c r="L244" s="228"/>
      <c r="M244" s="240"/>
      <c r="N244" s="240"/>
      <c r="O244" s="240">
        <v>2</v>
      </c>
      <c r="P244" s="223"/>
      <c r="Q244" s="223"/>
      <c r="R244" s="223"/>
      <c r="S244" s="223"/>
      <c r="T244" s="331"/>
    </row>
    <row r="245" spans="1:21" ht="14.25" hidden="1" customHeight="1">
      <c r="A245" s="398" t="s">
        <v>862</v>
      </c>
      <c r="B245" s="298"/>
      <c r="C245" s="299"/>
      <c r="D245" s="304"/>
      <c r="E245" s="304"/>
      <c r="F245" s="304"/>
      <c r="G245" s="305"/>
      <c r="H245" s="302"/>
      <c r="I245" s="302"/>
      <c r="J245" s="302"/>
      <c r="K245" s="302"/>
      <c r="L245" s="228"/>
      <c r="M245" s="240">
        <v>720</v>
      </c>
      <c r="N245" s="240">
        <v>686</v>
      </c>
      <c r="O245" s="240">
        <v>661</v>
      </c>
      <c r="P245" s="223"/>
      <c r="Q245" s="223"/>
      <c r="R245" s="223"/>
      <c r="S245" s="223"/>
      <c r="T245" s="331"/>
    </row>
    <row r="246" spans="1:21" ht="14.25" hidden="1" customHeight="1">
      <c r="A246" s="398" t="s">
        <v>937</v>
      </c>
      <c r="B246" s="298"/>
      <c r="C246" s="299"/>
      <c r="D246" s="304"/>
      <c r="E246" s="304"/>
      <c r="F246" s="304"/>
      <c r="G246" s="305"/>
      <c r="H246" s="302"/>
      <c r="I246" s="302"/>
      <c r="J246" s="302"/>
      <c r="K246" s="302"/>
      <c r="L246" s="228"/>
      <c r="M246" s="240">
        <v>189</v>
      </c>
      <c r="N246" s="240">
        <v>93</v>
      </c>
      <c r="O246" s="240">
        <v>92</v>
      </c>
      <c r="P246" s="223"/>
      <c r="Q246" s="223"/>
      <c r="R246" s="223"/>
      <c r="S246" s="223"/>
      <c r="T246" s="331"/>
    </row>
    <row r="247" spans="1:21" ht="15.75" hidden="1" customHeight="1">
      <c r="A247" s="398" t="s">
        <v>871</v>
      </c>
      <c r="B247" s="298"/>
      <c r="C247" s="299"/>
      <c r="D247" s="304"/>
      <c r="E247" s="304"/>
      <c r="F247" s="304"/>
      <c r="G247" s="305"/>
      <c r="H247" s="302"/>
      <c r="I247" s="302"/>
      <c r="J247" s="302"/>
      <c r="K247" s="302"/>
      <c r="L247" s="228"/>
      <c r="M247" s="240">
        <v>369</v>
      </c>
      <c r="N247" s="240">
        <v>331</v>
      </c>
      <c r="O247" s="240">
        <v>341</v>
      </c>
      <c r="P247" s="223"/>
      <c r="Q247" s="223"/>
      <c r="R247" s="223"/>
      <c r="S247" s="223"/>
      <c r="T247" s="331"/>
    </row>
    <row r="248" spans="1:21" ht="15.75" hidden="1" customHeight="1">
      <c r="A248" s="398" t="s">
        <v>936</v>
      </c>
      <c r="B248" s="298"/>
      <c r="C248" s="299"/>
      <c r="D248" s="304"/>
      <c r="E248" s="304"/>
      <c r="F248" s="304"/>
      <c r="G248" s="305"/>
      <c r="H248" s="302"/>
      <c r="I248" s="302"/>
      <c r="J248" s="302"/>
      <c r="K248" s="302"/>
      <c r="L248" s="228"/>
      <c r="M248" s="240"/>
      <c r="N248" s="240"/>
      <c r="O248" s="240"/>
      <c r="P248" s="223"/>
      <c r="Q248" s="223"/>
      <c r="R248" s="223"/>
      <c r="S248" s="223"/>
      <c r="T248" s="331"/>
    </row>
    <row r="249" spans="1:21" ht="15.75" hidden="1" customHeight="1">
      <c r="A249" s="398" t="s">
        <v>943</v>
      </c>
      <c r="B249" s="298"/>
      <c r="C249" s="299"/>
      <c r="D249" s="304"/>
      <c r="E249" s="304"/>
      <c r="F249" s="304"/>
      <c r="G249" s="305"/>
      <c r="H249" s="302"/>
      <c r="I249" s="302"/>
      <c r="J249" s="302"/>
      <c r="K249" s="302"/>
      <c r="L249" s="228"/>
      <c r="M249" s="240"/>
      <c r="N249" s="240"/>
      <c r="O249" s="240"/>
      <c r="P249" s="223"/>
      <c r="Q249" s="223"/>
      <c r="R249" s="223"/>
      <c r="S249" s="223"/>
      <c r="T249" s="331"/>
    </row>
    <row r="250" spans="1:21" ht="15" hidden="1" customHeight="1">
      <c r="A250" s="398"/>
      <c r="B250" s="298"/>
      <c r="C250" s="299"/>
      <c r="D250" s="304"/>
      <c r="E250" s="304"/>
      <c r="F250" s="304"/>
      <c r="G250" s="305"/>
      <c r="H250" s="302"/>
      <c r="I250" s="302"/>
      <c r="J250" s="302"/>
      <c r="K250" s="302"/>
      <c r="L250" s="228"/>
      <c r="M250" s="240">
        <f>SUM(M243:M247)</f>
        <v>1286</v>
      </c>
      <c r="N250" s="240">
        <f>SUM(N243:N247)</f>
        <v>1118</v>
      </c>
      <c r="O250" s="240">
        <f>SUM(O243:O247)</f>
        <v>1104</v>
      </c>
      <c r="P250" s="223"/>
      <c r="Q250" s="223"/>
      <c r="R250" s="223"/>
      <c r="S250" s="223"/>
      <c r="T250" s="331"/>
    </row>
    <row r="251" spans="1:21" ht="15" hidden="1" customHeight="1">
      <c r="A251" s="398"/>
      <c r="B251" s="298"/>
      <c r="C251" s="299"/>
      <c r="D251" s="304"/>
      <c r="E251" s="304"/>
      <c r="F251" s="304"/>
      <c r="G251" s="305"/>
      <c r="H251" s="302"/>
      <c r="I251" s="302"/>
      <c r="J251" s="302"/>
      <c r="K251" s="302"/>
      <c r="L251" s="228"/>
      <c r="M251" s="240"/>
      <c r="N251" s="240"/>
      <c r="O251" s="240"/>
      <c r="P251" s="223"/>
      <c r="Q251" s="223"/>
      <c r="R251" s="223"/>
      <c r="S251" s="248"/>
      <c r="T251" s="331"/>
    </row>
    <row r="252" spans="1:21" ht="39.75" customHeight="1">
      <c r="A252" s="398" t="s">
        <v>952</v>
      </c>
      <c r="B252" s="298" t="s">
        <v>279</v>
      </c>
      <c r="C252" s="334"/>
      <c r="D252" s="334"/>
      <c r="E252" s="334"/>
      <c r="F252" s="334"/>
      <c r="G252" s="334"/>
      <c r="H252" s="334"/>
      <c r="I252" s="334"/>
      <c r="J252" s="334"/>
      <c r="K252" s="334"/>
      <c r="L252" s="334"/>
      <c r="M252" s="334"/>
      <c r="N252" s="334"/>
      <c r="O252" s="335">
        <f>O245-N245</f>
        <v>-25</v>
      </c>
      <c r="P252" s="378"/>
      <c r="Q252" s="381">
        <f>Q242/Q212*100</f>
        <v>18.385542168674696</v>
      </c>
      <c r="R252" s="381">
        <f>R242/4.079*100</f>
        <v>17.590095611669529</v>
      </c>
      <c r="S252" s="381">
        <f>S242/S212*100</f>
        <v>17.487091222030983</v>
      </c>
      <c r="T252" s="331"/>
    </row>
    <row r="253" spans="1:21" ht="39" hidden="1" customHeight="1">
      <c r="A253" s="383"/>
      <c r="B253" s="298"/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334"/>
      <c r="O253" s="335"/>
      <c r="P253" s="378"/>
      <c r="Q253" s="378"/>
      <c r="R253" s="378"/>
      <c r="S253" s="378"/>
      <c r="T253" s="331"/>
    </row>
    <row r="254" spans="1:21" ht="48" hidden="1" customHeight="1">
      <c r="A254" s="383"/>
      <c r="B254" s="298"/>
      <c r="C254" s="334"/>
      <c r="D254" s="334"/>
      <c r="E254" s="334"/>
      <c r="F254" s="334"/>
      <c r="G254" s="334"/>
      <c r="H254" s="334"/>
      <c r="I254" s="334"/>
      <c r="J254" s="334"/>
      <c r="K254" s="334"/>
      <c r="L254" s="334"/>
      <c r="M254" s="334"/>
      <c r="N254" s="334"/>
      <c r="O254" s="335"/>
      <c r="P254" s="378"/>
      <c r="Q254" s="378"/>
      <c r="R254" s="378"/>
      <c r="S254" s="377"/>
      <c r="T254" s="331"/>
    </row>
    <row r="255" spans="1:21" ht="15.75" hidden="1" customHeight="1">
      <c r="A255" s="383"/>
      <c r="B255" s="298"/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  <c r="M255" s="334"/>
      <c r="N255" s="334"/>
      <c r="O255" s="335"/>
      <c r="P255" s="378"/>
      <c r="Q255" s="378"/>
      <c r="R255" s="378"/>
      <c r="S255" s="378"/>
      <c r="T255" s="331"/>
    </row>
    <row r="256" spans="1:21" ht="32.25" hidden="1" customHeight="1">
      <c r="A256" s="398" t="s">
        <v>867</v>
      </c>
      <c r="B256" s="298" t="s">
        <v>279</v>
      </c>
      <c r="C256" s="311"/>
      <c r="D256" s="304"/>
      <c r="E256" s="304"/>
      <c r="F256" s="304"/>
      <c r="G256" s="305"/>
      <c r="H256" s="312"/>
      <c r="I256" s="312"/>
      <c r="J256" s="312"/>
      <c r="K256" s="312"/>
      <c r="L256" s="259">
        <f>L242/L212*100</f>
        <v>29.267124381286923</v>
      </c>
      <c r="M256" s="259">
        <f>M242/M212*100</f>
        <v>0</v>
      </c>
      <c r="N256" s="259">
        <f>N242/N212*100</f>
        <v>0</v>
      </c>
      <c r="O256" s="370">
        <f>O242/O212*100</f>
        <v>0</v>
      </c>
      <c r="P256" s="226"/>
      <c r="Q256" s="226">
        <f>Q242/Q212*100</f>
        <v>18.385542168674696</v>
      </c>
      <c r="R256" s="226"/>
      <c r="S256" s="226">
        <f>S242/S212*100</f>
        <v>17.487091222030983</v>
      </c>
      <c r="T256" s="331"/>
    </row>
    <row r="257" spans="1:20" ht="24.75" hidden="1" customHeight="1">
      <c r="A257" s="400" t="s">
        <v>245</v>
      </c>
      <c r="B257" s="429" t="s">
        <v>244</v>
      </c>
      <c r="C257" s="371"/>
      <c r="D257" s="337"/>
      <c r="E257" s="337"/>
      <c r="F257" s="337"/>
      <c r="G257" s="338"/>
      <c r="H257" s="372"/>
      <c r="I257" s="372"/>
      <c r="J257" s="372"/>
      <c r="K257" s="372"/>
      <c r="L257" s="373"/>
      <c r="M257" s="373">
        <f>(38+118)/1000</f>
        <v>0.156</v>
      </c>
      <c r="N257" s="373">
        <f>(N258+N259+N260+N261+N262+N263+N264+N265+N266+N267+N268+N269)/1000</f>
        <v>0.16800000000000001</v>
      </c>
      <c r="O257" s="373">
        <f>(O258+O259+O260+O261+O262+O263+O264+O265+O266+O267+O268+O269)/1000</f>
        <v>0.16900000000000001</v>
      </c>
      <c r="P257" s="271"/>
      <c r="Q257" s="271">
        <f>(Q258+Q259+Q260+Q261+Q262+Q263+Q264+Q265+Q266+Q267+Q268+Q269)/1000</f>
        <v>0.17299999999999999</v>
      </c>
      <c r="R257" s="271"/>
      <c r="S257" s="271">
        <f>(S258+S259+S260+S261+S262+S263+S264+S265+S266+S267+S268+S269)/1000</f>
        <v>0.17399999999999999</v>
      </c>
      <c r="T257" s="331"/>
    </row>
    <row r="258" spans="1:20" ht="24.75" hidden="1" customHeight="1">
      <c r="A258" s="398" t="s">
        <v>853</v>
      </c>
      <c r="B258" s="298"/>
      <c r="C258" s="311"/>
      <c r="D258" s="304"/>
      <c r="E258" s="304"/>
      <c r="F258" s="304"/>
      <c r="G258" s="305"/>
      <c r="H258" s="312"/>
      <c r="I258" s="312"/>
      <c r="J258" s="312"/>
      <c r="K258" s="312"/>
      <c r="L258" s="259"/>
      <c r="M258" s="259">
        <v>18</v>
      </c>
      <c r="N258" s="259">
        <v>18</v>
      </c>
      <c r="O258" s="259">
        <v>18</v>
      </c>
      <c r="P258" s="223">
        <v>18</v>
      </c>
      <c r="Q258" s="223">
        <v>18</v>
      </c>
      <c r="R258" s="223"/>
      <c r="S258" s="223">
        <v>18</v>
      </c>
      <c r="T258" s="331"/>
    </row>
    <row r="259" spans="1:20" ht="15" hidden="1" customHeight="1">
      <c r="A259" s="398" t="s">
        <v>860</v>
      </c>
      <c r="B259" s="298"/>
      <c r="C259" s="311"/>
      <c r="D259" s="304"/>
      <c r="E259" s="304"/>
      <c r="F259" s="304"/>
      <c r="G259" s="305"/>
      <c r="H259" s="312"/>
      <c r="I259" s="312"/>
      <c r="J259" s="312"/>
      <c r="K259" s="312"/>
      <c r="L259" s="259"/>
      <c r="M259" s="259">
        <v>55</v>
      </c>
      <c r="N259" s="259">
        <v>49</v>
      </c>
      <c r="O259" s="259">
        <v>49</v>
      </c>
      <c r="P259" s="223">
        <v>49</v>
      </c>
      <c r="Q259" s="223">
        <v>49</v>
      </c>
      <c r="R259" s="223">
        <v>49</v>
      </c>
      <c r="S259" s="223">
        <v>49</v>
      </c>
      <c r="T259" s="331"/>
    </row>
    <row r="260" spans="1:20" ht="18" hidden="1" customHeight="1">
      <c r="A260" s="398" t="s">
        <v>856</v>
      </c>
      <c r="B260" s="298"/>
      <c r="C260" s="311"/>
      <c r="D260" s="304"/>
      <c r="E260" s="304"/>
      <c r="F260" s="304"/>
      <c r="G260" s="305"/>
      <c r="H260" s="312"/>
      <c r="I260" s="312"/>
      <c r="J260" s="312"/>
      <c r="K260" s="312"/>
      <c r="L260" s="259"/>
      <c r="M260" s="259">
        <v>8</v>
      </c>
      <c r="N260" s="259">
        <v>11</v>
      </c>
      <c r="O260" s="259">
        <v>11</v>
      </c>
      <c r="P260" s="223"/>
      <c r="Q260" s="223">
        <v>11</v>
      </c>
      <c r="R260" s="223"/>
      <c r="S260" s="223">
        <v>11</v>
      </c>
      <c r="T260" s="331"/>
    </row>
    <row r="261" spans="1:20" ht="14.25" hidden="1" customHeight="1">
      <c r="A261" s="398" t="s">
        <v>859</v>
      </c>
      <c r="B261" s="298"/>
      <c r="C261" s="311"/>
      <c r="D261" s="304"/>
      <c r="E261" s="304"/>
      <c r="F261" s="304"/>
      <c r="G261" s="305"/>
      <c r="H261" s="312"/>
      <c r="I261" s="312"/>
      <c r="J261" s="312"/>
      <c r="K261" s="312"/>
      <c r="L261" s="259"/>
      <c r="M261" s="259">
        <v>16</v>
      </c>
      <c r="N261" s="259">
        <v>15</v>
      </c>
      <c r="O261" s="259">
        <v>15</v>
      </c>
      <c r="P261" s="223"/>
      <c r="Q261" s="223">
        <v>15</v>
      </c>
      <c r="R261" s="223"/>
      <c r="S261" s="223">
        <v>15</v>
      </c>
      <c r="T261" s="331"/>
    </row>
    <row r="262" spans="1:20" ht="15.75" hidden="1" customHeight="1">
      <c r="A262" s="398" t="s">
        <v>857</v>
      </c>
      <c r="B262" s="298"/>
      <c r="C262" s="311"/>
      <c r="D262" s="304"/>
      <c r="E262" s="304"/>
      <c r="F262" s="304"/>
      <c r="G262" s="305"/>
      <c r="H262" s="312"/>
      <c r="I262" s="312"/>
      <c r="J262" s="312"/>
      <c r="K262" s="312"/>
      <c r="L262" s="259"/>
      <c r="M262" s="259">
        <v>7</v>
      </c>
      <c r="N262" s="259">
        <v>7</v>
      </c>
      <c r="O262" s="259">
        <v>7</v>
      </c>
      <c r="P262" s="223"/>
      <c r="Q262" s="223">
        <v>7</v>
      </c>
      <c r="R262" s="223"/>
      <c r="S262" s="223">
        <v>7</v>
      </c>
      <c r="T262" s="331"/>
    </row>
    <row r="263" spans="1:20" ht="21" hidden="1" customHeight="1">
      <c r="A263" s="398" t="s">
        <v>861</v>
      </c>
      <c r="B263" s="298"/>
      <c r="C263" s="311"/>
      <c r="D263" s="304"/>
      <c r="E263" s="304"/>
      <c r="F263" s="304"/>
      <c r="G263" s="305"/>
      <c r="H263" s="312"/>
      <c r="I263" s="312"/>
      <c r="J263" s="312"/>
      <c r="K263" s="312"/>
      <c r="L263" s="259"/>
      <c r="M263" s="259">
        <v>5</v>
      </c>
      <c r="N263" s="259">
        <v>5</v>
      </c>
      <c r="O263" s="259">
        <v>5</v>
      </c>
      <c r="P263" s="223"/>
      <c r="Q263" s="223">
        <v>5</v>
      </c>
      <c r="R263" s="223"/>
      <c r="S263" s="223">
        <v>5</v>
      </c>
      <c r="T263" s="331"/>
    </row>
    <row r="264" spans="1:20" ht="17.25" hidden="1" customHeight="1">
      <c r="A264" s="398" t="s">
        <v>854</v>
      </c>
      <c r="B264" s="298"/>
      <c r="C264" s="311"/>
      <c r="D264" s="304"/>
      <c r="E264" s="304"/>
      <c r="F264" s="304"/>
      <c r="G264" s="305"/>
      <c r="H264" s="312"/>
      <c r="I264" s="312"/>
      <c r="J264" s="312"/>
      <c r="K264" s="312"/>
      <c r="L264" s="259"/>
      <c r="M264" s="259">
        <v>13</v>
      </c>
      <c r="N264" s="259">
        <v>13</v>
      </c>
      <c r="O264" s="259">
        <v>13</v>
      </c>
      <c r="P264" s="223"/>
      <c r="Q264" s="223">
        <v>13</v>
      </c>
      <c r="R264" s="223"/>
      <c r="S264" s="223">
        <v>13</v>
      </c>
      <c r="T264" s="331"/>
    </row>
    <row r="265" spans="1:20" ht="15.75" hidden="1" customHeight="1">
      <c r="A265" s="398" t="s">
        <v>79</v>
      </c>
      <c r="B265" s="298"/>
      <c r="C265" s="311"/>
      <c r="D265" s="304"/>
      <c r="E265" s="304"/>
      <c r="F265" s="304"/>
      <c r="G265" s="305"/>
      <c r="H265" s="312"/>
      <c r="I265" s="312"/>
      <c r="J265" s="312"/>
      <c r="K265" s="312"/>
      <c r="L265" s="259"/>
      <c r="M265" s="259">
        <v>9</v>
      </c>
      <c r="N265" s="259">
        <v>9</v>
      </c>
      <c r="O265" s="259">
        <v>9</v>
      </c>
      <c r="P265" s="223">
        <v>9</v>
      </c>
      <c r="Q265" s="223">
        <v>9</v>
      </c>
      <c r="R265" s="223">
        <v>9</v>
      </c>
      <c r="S265" s="223">
        <v>9</v>
      </c>
      <c r="T265" s="331"/>
    </row>
    <row r="266" spans="1:20" ht="15" hidden="1" customHeight="1">
      <c r="A266" s="398" t="s">
        <v>862</v>
      </c>
      <c r="B266" s="298"/>
      <c r="C266" s="311"/>
      <c r="D266" s="304"/>
      <c r="E266" s="304"/>
      <c r="F266" s="304"/>
      <c r="G266" s="305"/>
      <c r="H266" s="312"/>
      <c r="I266" s="312"/>
      <c r="J266" s="312"/>
      <c r="K266" s="312"/>
      <c r="L266" s="259"/>
      <c r="M266" s="259">
        <v>10</v>
      </c>
      <c r="N266" s="259">
        <v>11</v>
      </c>
      <c r="O266" s="259">
        <v>12</v>
      </c>
      <c r="P266" s="223"/>
      <c r="Q266" s="223">
        <v>15</v>
      </c>
      <c r="R266" s="223"/>
      <c r="S266" s="223">
        <v>15</v>
      </c>
      <c r="T266" s="331"/>
    </row>
    <row r="267" spans="1:20" ht="16.5" hidden="1" customHeight="1">
      <c r="A267" s="398" t="s">
        <v>871</v>
      </c>
      <c r="B267" s="298"/>
      <c r="C267" s="311"/>
      <c r="D267" s="304"/>
      <c r="E267" s="304"/>
      <c r="F267" s="304"/>
      <c r="G267" s="305"/>
      <c r="H267" s="312"/>
      <c r="I267" s="312"/>
      <c r="J267" s="312"/>
      <c r="K267" s="312"/>
      <c r="L267" s="259"/>
      <c r="M267" s="259"/>
      <c r="N267" s="259">
        <v>15</v>
      </c>
      <c r="O267" s="259">
        <v>15</v>
      </c>
      <c r="P267" s="223"/>
      <c r="Q267" s="223">
        <v>17</v>
      </c>
      <c r="R267" s="223"/>
      <c r="S267" s="223">
        <v>18</v>
      </c>
      <c r="T267" s="331"/>
    </row>
    <row r="268" spans="1:20" ht="15" hidden="1" customHeight="1">
      <c r="A268" s="398" t="s">
        <v>863</v>
      </c>
      <c r="B268" s="298"/>
      <c r="C268" s="311"/>
      <c r="D268" s="304"/>
      <c r="E268" s="304"/>
      <c r="F268" s="304"/>
      <c r="G268" s="305"/>
      <c r="H268" s="312"/>
      <c r="I268" s="312"/>
      <c r="J268" s="312"/>
      <c r="K268" s="312"/>
      <c r="L268" s="259"/>
      <c r="M268" s="259">
        <v>13</v>
      </c>
      <c r="N268" s="259">
        <v>12</v>
      </c>
      <c r="O268" s="259">
        <v>11</v>
      </c>
      <c r="P268" s="223"/>
      <c r="Q268" s="223">
        <v>11</v>
      </c>
      <c r="R268" s="223"/>
      <c r="S268" s="223">
        <v>11</v>
      </c>
      <c r="T268" s="331"/>
    </row>
    <row r="269" spans="1:20" ht="15" hidden="1" customHeight="1">
      <c r="A269" s="398" t="s">
        <v>878</v>
      </c>
      <c r="B269" s="298"/>
      <c r="C269" s="311"/>
      <c r="D269" s="304"/>
      <c r="E269" s="304"/>
      <c r="F269" s="304"/>
      <c r="G269" s="305"/>
      <c r="H269" s="312"/>
      <c r="I269" s="312"/>
      <c r="J269" s="312"/>
      <c r="K269" s="312"/>
      <c r="L269" s="259"/>
      <c r="M269" s="259"/>
      <c r="N269" s="259">
        <v>3</v>
      </c>
      <c r="O269" s="259">
        <v>4</v>
      </c>
      <c r="P269" s="223">
        <v>4</v>
      </c>
      <c r="Q269" s="223">
        <v>3</v>
      </c>
      <c r="R269" s="223"/>
      <c r="S269" s="223">
        <v>3</v>
      </c>
      <c r="T269" s="331"/>
    </row>
    <row r="270" spans="1:20" ht="36" customHeight="1">
      <c r="A270" s="502" t="s">
        <v>978</v>
      </c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4"/>
      <c r="T270" s="331"/>
    </row>
    <row r="271" spans="1:20" ht="15.75" customHeight="1">
      <c r="A271" s="463" t="s">
        <v>907</v>
      </c>
      <c r="B271" s="464"/>
      <c r="C271" s="464"/>
      <c r="D271" s="464"/>
      <c r="E271" s="464"/>
      <c r="F271" s="464"/>
      <c r="G271" s="464"/>
      <c r="H271" s="464"/>
      <c r="I271" s="464"/>
      <c r="J271" s="464"/>
      <c r="K271" s="464"/>
      <c r="L271" s="464"/>
      <c r="M271" s="464"/>
      <c r="N271" s="464"/>
      <c r="O271" s="464"/>
      <c r="P271" s="464"/>
      <c r="Q271" s="464"/>
      <c r="R271" s="464"/>
      <c r="S271" s="465"/>
      <c r="T271" s="331"/>
    </row>
    <row r="272" spans="1:20">
      <c r="A272" s="388" t="s">
        <v>373</v>
      </c>
      <c r="B272" s="298"/>
      <c r="C272" s="299"/>
      <c r="D272" s="304"/>
      <c r="E272" s="304"/>
      <c r="F272" s="304"/>
      <c r="G272" s="305"/>
      <c r="H272" s="302"/>
      <c r="I272" s="302"/>
      <c r="J272" s="302"/>
      <c r="K272" s="302"/>
      <c r="L272" s="240"/>
      <c r="M272" s="240"/>
      <c r="N272" s="240"/>
      <c r="O272" s="240"/>
      <c r="P272" s="223"/>
      <c r="Q272" s="223"/>
      <c r="R272" s="223"/>
      <c r="S272" s="223"/>
      <c r="T272" s="331"/>
    </row>
    <row r="273" spans="1:23" hidden="1">
      <c r="A273" s="384" t="s">
        <v>123</v>
      </c>
      <c r="B273" s="298" t="s">
        <v>374</v>
      </c>
      <c r="C273" s="299">
        <v>1</v>
      </c>
      <c r="D273" s="304"/>
      <c r="E273" s="304"/>
      <c r="F273" s="304"/>
      <c r="G273" s="305" t="s">
        <v>454</v>
      </c>
      <c r="H273" s="302"/>
      <c r="I273" s="302"/>
      <c r="J273" s="302"/>
      <c r="K273" s="302"/>
      <c r="L273" s="223">
        <f>136/(16585/10000)</f>
        <v>82.00180886343081</v>
      </c>
      <c r="M273" s="223">
        <v>78.7</v>
      </c>
      <c r="N273" s="223">
        <f>113/(N8/10)</f>
        <v>76.594590930658171</v>
      </c>
      <c r="O273" s="223">
        <f>112/(O8/10)</f>
        <v>78.60752386299832</v>
      </c>
      <c r="P273" s="223"/>
      <c r="Q273" s="223">
        <f>106/(Q8/10)</f>
        <v>92.222028884635463</v>
      </c>
      <c r="R273" s="223"/>
      <c r="S273" s="223">
        <f>108/(S8/10)</f>
        <v>94.62064131768004</v>
      </c>
      <c r="T273" s="496"/>
      <c r="U273" s="496"/>
      <c r="V273" s="496"/>
      <c r="W273" s="496"/>
    </row>
    <row r="274" spans="1:23" hidden="1">
      <c r="A274" s="384"/>
      <c r="B274" s="298"/>
      <c r="C274" s="299"/>
      <c r="D274" s="304"/>
      <c r="E274" s="304"/>
      <c r="F274" s="304"/>
      <c r="G274" s="305"/>
      <c r="H274" s="302"/>
      <c r="I274" s="302"/>
      <c r="J274" s="302"/>
      <c r="K274" s="302"/>
      <c r="L274" s="223"/>
      <c r="M274" s="223"/>
      <c r="N274" s="223"/>
      <c r="O274" s="223"/>
      <c r="P274" s="223"/>
      <c r="Q274" s="223"/>
      <c r="R274" s="223"/>
      <c r="S274" s="223"/>
      <c r="T274" s="331"/>
    </row>
    <row r="275" spans="1:23" hidden="1">
      <c r="A275" s="384" t="s">
        <v>130</v>
      </c>
      <c r="B275" s="298" t="s">
        <v>249</v>
      </c>
      <c r="C275" s="299">
        <v>1</v>
      </c>
      <c r="D275" s="304"/>
      <c r="E275" s="304"/>
      <c r="F275" s="304"/>
      <c r="G275" s="305" t="s">
        <v>454</v>
      </c>
      <c r="H275" s="302"/>
      <c r="I275" s="302"/>
      <c r="J275" s="302"/>
      <c r="K275" s="302"/>
      <c r="L275" s="226">
        <f>580/(16585/10000)</f>
        <v>349.71359662345492</v>
      </c>
      <c r="M275" s="223">
        <v>368</v>
      </c>
      <c r="N275" s="223">
        <f>580/(N8/10)</f>
        <v>393.14037822815698</v>
      </c>
      <c r="O275" s="223">
        <f>580/(O8/10)</f>
        <v>407.07467714766989</v>
      </c>
      <c r="P275" s="223"/>
      <c r="Q275" s="223">
        <f>580/(Q8/10)</f>
        <v>504.61110144423179</v>
      </c>
      <c r="R275" s="223"/>
      <c r="S275" s="223">
        <f>580/(S8/10)</f>
        <v>508.14788855791136</v>
      </c>
      <c r="T275" s="297"/>
    </row>
    <row r="276" spans="1:23" ht="14.25" hidden="1" customHeight="1">
      <c r="A276" s="384" t="s">
        <v>131</v>
      </c>
      <c r="B276" s="298" t="s">
        <v>250</v>
      </c>
      <c r="C276" s="299">
        <v>1</v>
      </c>
      <c r="D276" s="304"/>
      <c r="E276" s="304"/>
      <c r="F276" s="304"/>
      <c r="G276" s="305" t="s">
        <v>454</v>
      </c>
      <c r="H276" s="302"/>
      <c r="I276" s="302"/>
      <c r="J276" s="302"/>
      <c r="K276" s="302"/>
      <c r="L276" s="226">
        <f>43/(16585/10000)</f>
        <v>25.927042508290622</v>
      </c>
      <c r="M276" s="223">
        <v>23.5</v>
      </c>
      <c r="N276" s="223">
        <f>35/(N8/10)</f>
        <v>23.7239883413543</v>
      </c>
      <c r="O276" s="223">
        <f>34/(O8/10)</f>
        <v>23.862998315553064</v>
      </c>
      <c r="P276" s="223"/>
      <c r="Q276" s="223">
        <f>33/(Q8/10)</f>
        <v>28.710631633895947</v>
      </c>
      <c r="R276" s="223"/>
      <c r="S276" s="223">
        <f>32/(S8/10)</f>
        <v>28.035745575608903</v>
      </c>
      <c r="T276" s="297"/>
    </row>
    <row r="277" spans="1:23" hidden="1">
      <c r="A277" s="384" t="s">
        <v>133</v>
      </c>
      <c r="B277" s="298" t="s">
        <v>250</v>
      </c>
      <c r="C277" s="299">
        <v>1</v>
      </c>
      <c r="D277" s="304"/>
      <c r="E277" s="304"/>
      <c r="F277" s="304"/>
      <c r="G277" s="305" t="s">
        <v>454</v>
      </c>
      <c r="H277" s="302"/>
      <c r="I277" s="302"/>
      <c r="J277" s="302"/>
      <c r="K277" s="302"/>
      <c r="L277" s="226">
        <f>183/(16585/10000)</f>
        <v>110.3406692794694</v>
      </c>
      <c r="M277" s="223">
        <v>104.7</v>
      </c>
      <c r="N277" s="223">
        <f>153/(N8/10)</f>
        <v>103.70772046363452</v>
      </c>
      <c r="O277" s="223">
        <f>152/(O8/10)</f>
        <v>106.68163952835486</v>
      </c>
      <c r="P277" s="223"/>
      <c r="Q277" s="223">
        <f>145/(Q8/10)</f>
        <v>126.15277536105795</v>
      </c>
      <c r="R277" s="223"/>
      <c r="S277" s="223">
        <f>153/(S8/10)</f>
        <v>134.04590853338007</v>
      </c>
      <c r="T277" s="297"/>
    </row>
    <row r="278" spans="1:23" hidden="1">
      <c r="A278" s="394">
        <v>1</v>
      </c>
      <c r="B278" s="427">
        <v>2</v>
      </c>
      <c r="C278" s="264"/>
      <c r="D278" s="265"/>
      <c r="E278" s="266"/>
      <c r="F278" s="264"/>
      <c r="G278" s="267"/>
      <c r="H278" s="264"/>
      <c r="I278" s="264"/>
      <c r="J278" s="264"/>
      <c r="K278" s="264"/>
      <c r="L278" s="268"/>
      <c r="M278" s="268"/>
      <c r="N278" s="268"/>
      <c r="O278" s="449"/>
      <c r="P278" s="450"/>
      <c r="Q278" s="376"/>
      <c r="R278" s="450"/>
      <c r="S278" s="376">
        <v>3</v>
      </c>
      <c r="T278" s="297"/>
    </row>
    <row r="279" spans="1:23" ht="25.5" hidden="1" customHeight="1">
      <c r="A279" s="384" t="s">
        <v>134</v>
      </c>
      <c r="B279" s="298" t="s">
        <v>252</v>
      </c>
      <c r="C279" s="299">
        <v>1</v>
      </c>
      <c r="D279" s="304"/>
      <c r="E279" s="304"/>
      <c r="F279" s="304"/>
      <c r="G279" s="305" t="s">
        <v>454</v>
      </c>
      <c r="H279" s="302"/>
      <c r="I279" s="302"/>
      <c r="J279" s="302"/>
      <c r="K279" s="302"/>
      <c r="L279" s="223">
        <f>20/(16585/10000)</f>
        <v>12.059089538739824</v>
      </c>
      <c r="M279" s="223">
        <f>20/(M8/10)</f>
        <v>13.191741969527076</v>
      </c>
      <c r="N279" s="223">
        <f>20/(N8/10)</f>
        <v>13.556564766488171</v>
      </c>
      <c r="O279" s="223">
        <f>20/(O8/10)</f>
        <v>14.037057832678272</v>
      </c>
      <c r="P279" s="223"/>
      <c r="Q279" s="223">
        <f>20/(Q8/10)</f>
        <v>17.400382808421785</v>
      </c>
      <c r="R279" s="223"/>
      <c r="S279" s="223" t="s">
        <v>563</v>
      </c>
      <c r="T279" s="297"/>
    </row>
    <row r="280" spans="1:23" ht="14.25" customHeight="1">
      <c r="A280" s="384" t="s">
        <v>135</v>
      </c>
      <c r="B280" s="298" t="s">
        <v>136</v>
      </c>
      <c r="C280" s="299">
        <v>1</v>
      </c>
      <c r="D280" s="304"/>
      <c r="E280" s="304"/>
      <c r="F280" s="304"/>
      <c r="G280" s="305" t="s">
        <v>454</v>
      </c>
      <c r="H280" s="302"/>
      <c r="I280" s="302"/>
      <c r="J280" s="302"/>
      <c r="K280" s="302"/>
      <c r="L280" s="224">
        <v>55.52</v>
      </c>
      <c r="M280" s="223">
        <f>9/(M8/100)</f>
        <v>59.362838862871847</v>
      </c>
      <c r="N280" s="223">
        <f>9/(N8/100)</f>
        <v>61.004541449196779</v>
      </c>
      <c r="O280" s="223">
        <f>9/(O8/100)</f>
        <v>63.166760247052217</v>
      </c>
      <c r="P280" s="223"/>
      <c r="Q280" s="223">
        <f>5/(11494/100000)</f>
        <v>43.500957021054461</v>
      </c>
      <c r="R280" s="223" t="s">
        <v>875</v>
      </c>
      <c r="S280" s="223">
        <f>5/(S8/100)</f>
        <v>43.805852461888911</v>
      </c>
      <c r="T280" s="331"/>
    </row>
    <row r="281" spans="1:23" ht="14.25" customHeight="1">
      <c r="A281" s="384" t="s">
        <v>137</v>
      </c>
      <c r="B281" s="298" t="s">
        <v>136</v>
      </c>
      <c r="C281" s="299">
        <v>1</v>
      </c>
      <c r="D281" s="304"/>
      <c r="E281" s="304"/>
      <c r="F281" s="304"/>
      <c r="G281" s="305" t="s">
        <v>454</v>
      </c>
      <c r="H281" s="302"/>
      <c r="I281" s="302"/>
      <c r="J281" s="302"/>
      <c r="K281" s="302"/>
      <c r="L281" s="242">
        <v>43.19</v>
      </c>
      <c r="M281" s="223">
        <f>7/(M8/100)</f>
        <v>46.171096893344767</v>
      </c>
      <c r="N281" s="223">
        <f>7/(N8/100)</f>
        <v>47.447976682708607</v>
      </c>
      <c r="O281" s="223">
        <f>7/(O8/100)</f>
        <v>49.129702414373952</v>
      </c>
      <c r="P281" s="223"/>
      <c r="Q281" s="223">
        <f>6/(11494/100000)</f>
        <v>52.201148425265359</v>
      </c>
      <c r="R281" s="223" t="s">
        <v>875</v>
      </c>
      <c r="S281" s="223">
        <f>6/(S8/100)</f>
        <v>52.567022954266697</v>
      </c>
      <c r="T281" s="331"/>
    </row>
    <row r="282" spans="1:23">
      <c r="A282" s="384" t="s">
        <v>138</v>
      </c>
      <c r="B282" s="298" t="s">
        <v>139</v>
      </c>
      <c r="C282" s="299">
        <v>1</v>
      </c>
      <c r="D282" s="300"/>
      <c r="E282" s="300"/>
      <c r="F282" s="300"/>
      <c r="G282" s="305" t="s">
        <v>454</v>
      </c>
      <c r="H282" s="302"/>
      <c r="I282" s="302"/>
      <c r="J282" s="302"/>
      <c r="K282" s="302"/>
      <c r="L282" s="223">
        <f>1270/(1280/1000)</f>
        <v>992.1875</v>
      </c>
      <c r="M282" s="223">
        <f>1210/(1306/1000)</f>
        <v>926.4931087289433</v>
      </c>
      <c r="N282" s="223">
        <f>1210/(1366/1000)</f>
        <v>885.79795021961922</v>
      </c>
      <c r="O282" s="223">
        <f>1210/(1350/1000)</f>
        <v>896.29629629629619</v>
      </c>
      <c r="P282" s="223"/>
      <c r="Q282" s="223">
        <f>1210/0.986</f>
        <v>1227.1805273833672</v>
      </c>
      <c r="R282" s="223" t="s">
        <v>875</v>
      </c>
      <c r="S282" s="257">
        <f>1137/(1.222)</f>
        <v>930.44189852700492</v>
      </c>
      <c r="T282" s="331"/>
    </row>
    <row r="283" spans="1:23" ht="15" customHeight="1">
      <c r="A283" s="386" t="s">
        <v>911</v>
      </c>
      <c r="B283" s="298" t="s">
        <v>904</v>
      </c>
      <c r="C283" s="299"/>
      <c r="D283" s="300"/>
      <c r="E283" s="300"/>
      <c r="F283" s="300"/>
      <c r="G283" s="305"/>
      <c r="H283" s="302"/>
      <c r="I283" s="302"/>
      <c r="J283" s="302"/>
      <c r="K283" s="302"/>
      <c r="L283" s="223"/>
      <c r="M283" s="223"/>
      <c r="N283" s="223"/>
      <c r="O283" s="223"/>
      <c r="P283" s="223"/>
      <c r="Q283" s="223">
        <v>6</v>
      </c>
      <c r="R283" s="223">
        <v>5</v>
      </c>
      <c r="S283" s="226">
        <v>5</v>
      </c>
      <c r="T283" s="331"/>
    </row>
    <row r="284" spans="1:23" ht="27" customHeight="1">
      <c r="A284" s="386" t="s">
        <v>910</v>
      </c>
      <c r="B284" s="340" t="s">
        <v>315</v>
      </c>
      <c r="C284" s="299"/>
      <c r="D284" s="300"/>
      <c r="E284" s="300"/>
      <c r="F284" s="300"/>
      <c r="G284" s="305"/>
      <c r="H284" s="302"/>
      <c r="I284" s="302"/>
      <c r="J284" s="302"/>
      <c r="K284" s="302"/>
      <c r="L284" s="223"/>
      <c r="M284" s="223"/>
      <c r="N284" s="223"/>
      <c r="O284" s="223"/>
      <c r="P284" s="223"/>
      <c r="Q284" s="223">
        <v>872</v>
      </c>
      <c r="R284" s="223">
        <v>764</v>
      </c>
      <c r="S284" s="226">
        <v>800</v>
      </c>
      <c r="T284" s="331"/>
    </row>
    <row r="285" spans="1:23" ht="26.25" customHeight="1">
      <c r="A285" s="386" t="s">
        <v>912</v>
      </c>
      <c r="B285" s="340" t="s">
        <v>279</v>
      </c>
      <c r="C285" s="299"/>
      <c r="D285" s="300"/>
      <c r="E285" s="300"/>
      <c r="F285" s="300"/>
      <c r="G285" s="305"/>
      <c r="H285" s="302"/>
      <c r="I285" s="302"/>
      <c r="J285" s="302"/>
      <c r="K285" s="302"/>
      <c r="L285" s="223"/>
      <c r="M285" s="223"/>
      <c r="N285" s="223"/>
      <c r="O285" s="223"/>
      <c r="P285" s="223"/>
      <c r="Q285" s="223">
        <v>92.9</v>
      </c>
      <c r="R285" s="223">
        <v>92.9</v>
      </c>
      <c r="S285" s="223">
        <v>92.9</v>
      </c>
      <c r="T285" s="331"/>
    </row>
    <row r="286" spans="1:23" ht="13.5" customHeight="1">
      <c r="A286" s="386" t="s">
        <v>977</v>
      </c>
      <c r="B286" s="298" t="s">
        <v>904</v>
      </c>
      <c r="C286" s="299"/>
      <c r="D286" s="300"/>
      <c r="E286" s="300"/>
      <c r="F286" s="300"/>
      <c r="G286" s="305"/>
      <c r="H286" s="302"/>
      <c r="I286" s="302"/>
      <c r="J286" s="302"/>
      <c r="K286" s="302"/>
      <c r="L286" s="223"/>
      <c r="M286" s="223"/>
      <c r="N286" s="223"/>
      <c r="O286" s="223"/>
      <c r="P286" s="223"/>
      <c r="Q286" s="226">
        <v>4</v>
      </c>
      <c r="R286" s="226">
        <v>3</v>
      </c>
      <c r="S286" s="226">
        <v>3</v>
      </c>
      <c r="T286" s="331"/>
    </row>
    <row r="287" spans="1:23" ht="14.25" customHeight="1">
      <c r="A287" s="386" t="s">
        <v>913</v>
      </c>
      <c r="B287" s="340" t="s">
        <v>315</v>
      </c>
      <c r="C287" s="299"/>
      <c r="D287" s="300"/>
      <c r="E287" s="300"/>
      <c r="F287" s="300"/>
      <c r="G287" s="305"/>
      <c r="H287" s="302"/>
      <c r="I287" s="302"/>
      <c r="J287" s="302"/>
      <c r="K287" s="302"/>
      <c r="L287" s="223"/>
      <c r="M287" s="223"/>
      <c r="N287" s="223"/>
      <c r="O287" s="223"/>
      <c r="P287" s="223"/>
      <c r="Q287" s="223">
        <v>1564</v>
      </c>
      <c r="R287" s="223">
        <v>1520</v>
      </c>
      <c r="S287" s="226">
        <v>1540</v>
      </c>
      <c r="T287" s="331"/>
    </row>
    <row r="288" spans="1:23" ht="35.25" customHeight="1">
      <c r="A288" s="384" t="s">
        <v>905</v>
      </c>
      <c r="B288" s="340" t="s">
        <v>279</v>
      </c>
      <c r="C288" s="311"/>
      <c r="D288" s="300"/>
      <c r="E288" s="300"/>
      <c r="F288" s="300"/>
      <c r="G288" s="305"/>
      <c r="H288" s="312"/>
      <c r="I288" s="312"/>
      <c r="J288" s="312"/>
      <c r="K288" s="312"/>
      <c r="L288" s="258"/>
      <c r="M288" s="258"/>
      <c r="N288" s="258"/>
      <c r="O288" s="258"/>
      <c r="P288" s="223"/>
      <c r="Q288" s="223">
        <v>100</v>
      </c>
      <c r="R288" s="223">
        <v>100</v>
      </c>
      <c r="S288" s="223">
        <v>100</v>
      </c>
      <c r="T288" s="331"/>
    </row>
    <row r="289" spans="1:20" hidden="1">
      <c r="A289" s="384"/>
      <c r="B289" s="298"/>
      <c r="C289" s="311"/>
      <c r="D289" s="300"/>
      <c r="E289" s="300"/>
      <c r="F289" s="300"/>
      <c r="G289" s="305"/>
      <c r="H289" s="312"/>
      <c r="I289" s="312"/>
      <c r="J289" s="312"/>
      <c r="K289" s="312"/>
      <c r="L289" s="258"/>
      <c r="M289" s="258"/>
      <c r="N289" s="258"/>
      <c r="O289" s="258"/>
      <c r="P289" s="223"/>
      <c r="Q289" s="223"/>
      <c r="R289" s="223"/>
      <c r="S289" s="223"/>
      <c r="T289" s="331"/>
    </row>
    <row r="290" spans="1:20" hidden="1">
      <c r="A290" s="384"/>
      <c r="B290" s="298"/>
      <c r="C290" s="311"/>
      <c r="D290" s="300"/>
      <c r="E290" s="300"/>
      <c r="F290" s="300"/>
      <c r="G290" s="305"/>
      <c r="H290" s="312"/>
      <c r="I290" s="312"/>
      <c r="J290" s="312"/>
      <c r="K290" s="312"/>
      <c r="L290" s="258"/>
      <c r="M290" s="258"/>
      <c r="N290" s="258"/>
      <c r="O290" s="258"/>
      <c r="P290" s="223"/>
      <c r="Q290" s="223"/>
      <c r="R290" s="223"/>
      <c r="S290" s="223"/>
      <c r="T290" s="331"/>
    </row>
    <row r="291" spans="1:20" ht="16.5" hidden="1" customHeight="1">
      <c r="A291" s="489"/>
      <c r="B291" s="489"/>
      <c r="C291" s="489"/>
      <c r="D291" s="489"/>
      <c r="E291" s="489"/>
      <c r="F291" s="489"/>
      <c r="G291" s="489"/>
      <c r="H291" s="489"/>
      <c r="I291" s="489"/>
      <c r="J291" s="489"/>
      <c r="K291" s="489"/>
      <c r="L291" s="489"/>
      <c r="M291" s="489"/>
      <c r="N291" s="489"/>
      <c r="O291" s="489"/>
      <c r="P291" s="489"/>
      <c r="Q291" s="489"/>
      <c r="R291" s="489"/>
      <c r="S291" s="489"/>
      <c r="T291" s="341"/>
    </row>
    <row r="292" spans="1:20" ht="24" customHeight="1">
      <c r="A292" s="410" t="s">
        <v>927</v>
      </c>
      <c r="B292" s="425" t="s">
        <v>279</v>
      </c>
      <c r="C292" s="311"/>
      <c r="D292" s="304"/>
      <c r="E292" s="304"/>
      <c r="F292" s="304"/>
      <c r="G292" s="305"/>
      <c r="H292" s="312"/>
      <c r="I292" s="312"/>
      <c r="J292" s="312"/>
      <c r="K292" s="312"/>
      <c r="L292" s="369"/>
      <c r="M292" s="258"/>
      <c r="N292" s="259"/>
      <c r="O292" s="259"/>
      <c r="P292" s="223">
        <v>86.2</v>
      </c>
      <c r="Q292" s="223">
        <v>76.5</v>
      </c>
      <c r="R292" s="223" t="s">
        <v>971</v>
      </c>
      <c r="S292" s="223">
        <v>90</v>
      </c>
      <c r="T292" s="331"/>
    </row>
    <row r="293" spans="1:20" ht="22.5" customHeight="1">
      <c r="A293" s="399" t="s">
        <v>144</v>
      </c>
      <c r="B293" s="329" t="s">
        <v>145</v>
      </c>
      <c r="C293" s="401">
        <v>1</v>
      </c>
      <c r="D293" s="402"/>
      <c r="E293" s="402"/>
      <c r="F293" s="402"/>
      <c r="G293" s="403" t="s">
        <v>454</v>
      </c>
      <c r="H293" s="404"/>
      <c r="I293" s="404"/>
      <c r="J293" s="404"/>
      <c r="K293" s="404"/>
      <c r="L293" s="405">
        <v>24.8</v>
      </c>
      <c r="M293" s="405">
        <v>25.4</v>
      </c>
      <c r="N293" s="405">
        <v>27.1</v>
      </c>
      <c r="O293" s="406">
        <v>28.3</v>
      </c>
      <c r="P293" s="405">
        <v>33</v>
      </c>
      <c r="Q293" s="405">
        <v>33.299999999999997</v>
      </c>
      <c r="R293" s="405" t="s">
        <v>972</v>
      </c>
      <c r="S293" s="405">
        <v>33.53</v>
      </c>
      <c r="T293" s="331"/>
    </row>
    <row r="294" spans="1:20" ht="22.5" hidden="1" customHeight="1">
      <c r="A294" s="382" t="s">
        <v>948</v>
      </c>
      <c r="B294" s="298" t="s">
        <v>279</v>
      </c>
      <c r="C294" s="299"/>
      <c r="D294" s="304"/>
      <c r="E294" s="304"/>
      <c r="F294" s="304"/>
      <c r="G294" s="305"/>
      <c r="H294" s="302"/>
      <c r="I294" s="302"/>
      <c r="J294" s="302"/>
      <c r="K294" s="302"/>
      <c r="L294" s="223">
        <v>89.4</v>
      </c>
      <c r="M294" s="240">
        <v>82</v>
      </c>
      <c r="N294" s="240">
        <v>78.900000000000006</v>
      </c>
      <c r="O294" s="240">
        <v>91.3</v>
      </c>
      <c r="P294" s="223"/>
      <c r="Q294" s="223">
        <v>95.4</v>
      </c>
      <c r="R294" s="223"/>
      <c r="S294" s="223">
        <v>95.6</v>
      </c>
      <c r="T294" s="331"/>
    </row>
    <row r="295" spans="1:20" ht="18" hidden="1" customHeight="1">
      <c r="A295" s="501" t="s">
        <v>880</v>
      </c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342"/>
    </row>
    <row r="296" spans="1:20" ht="22.5" hidden="1" customHeight="1">
      <c r="A296" s="382" t="s">
        <v>872</v>
      </c>
      <c r="B296" s="298" t="s">
        <v>593</v>
      </c>
      <c r="C296" s="299"/>
      <c r="D296" s="304"/>
      <c r="E296" s="304"/>
      <c r="F296" s="304"/>
      <c r="G296" s="305"/>
      <c r="H296" s="302"/>
      <c r="I296" s="302"/>
      <c r="J296" s="302"/>
      <c r="K296" s="302"/>
      <c r="L296" s="223">
        <v>1.64</v>
      </c>
      <c r="M296" s="240">
        <v>1.41</v>
      </c>
      <c r="N296" s="240">
        <v>1.83</v>
      </c>
      <c r="O296" s="240">
        <v>1.98</v>
      </c>
      <c r="P296" s="251"/>
      <c r="Q296" s="223">
        <v>2.06</v>
      </c>
      <c r="R296" s="223"/>
      <c r="S296" s="223">
        <v>2.1</v>
      </c>
      <c r="T296" s="331">
        <f>31/19*100</f>
        <v>163.15789473684211</v>
      </c>
    </row>
    <row r="297" spans="1:20" ht="22.5" hidden="1" customHeight="1">
      <c r="A297" s="382"/>
      <c r="B297" s="298" t="s">
        <v>664</v>
      </c>
      <c r="C297" s="299"/>
      <c r="D297" s="304"/>
      <c r="E297" s="304"/>
      <c r="F297" s="304"/>
      <c r="G297" s="305"/>
      <c r="H297" s="302"/>
      <c r="I297" s="302"/>
      <c r="J297" s="302"/>
      <c r="K297" s="302"/>
      <c r="L297" s="223">
        <v>96</v>
      </c>
      <c r="M297" s="240">
        <f>M296/L296*100</f>
        <v>85.975609756097555</v>
      </c>
      <c r="N297" s="240">
        <f>N296/M296*100</f>
        <v>129.78723404255322</v>
      </c>
      <c r="O297" s="240">
        <f>O296/N296*100</f>
        <v>108.1967213114754</v>
      </c>
      <c r="P297" s="223"/>
      <c r="Q297" s="223">
        <f>Q296/O296*100</f>
        <v>104.04040404040404</v>
      </c>
      <c r="R297" s="223"/>
      <c r="S297" s="223">
        <f>S296/Q296*100</f>
        <v>101.94174757281553</v>
      </c>
      <c r="T297" s="331"/>
    </row>
    <row r="298" spans="1:20" ht="22.5" hidden="1" customHeight="1">
      <c r="A298" s="382" t="s">
        <v>873</v>
      </c>
      <c r="B298" s="298" t="s">
        <v>282</v>
      </c>
      <c r="C298" s="299"/>
      <c r="D298" s="304"/>
      <c r="E298" s="304"/>
      <c r="F298" s="304"/>
      <c r="G298" s="305"/>
      <c r="H298" s="302"/>
      <c r="I298" s="302"/>
      <c r="J298" s="302"/>
      <c r="K298" s="302"/>
      <c r="L298" s="223">
        <v>23</v>
      </c>
      <c r="M298" s="240">
        <v>24</v>
      </c>
      <c r="N298" s="240">
        <v>28</v>
      </c>
      <c r="O298" s="241">
        <v>32</v>
      </c>
      <c r="P298" s="223"/>
      <c r="Q298" s="226">
        <v>34</v>
      </c>
      <c r="R298" s="226"/>
      <c r="S298" s="226">
        <v>35</v>
      </c>
      <c r="T298" s="343" t="s">
        <v>879</v>
      </c>
    </row>
    <row r="299" spans="1:20" ht="22.5" hidden="1" customHeight="1">
      <c r="A299" s="382"/>
      <c r="B299" s="298" t="s">
        <v>664</v>
      </c>
      <c r="C299" s="299"/>
      <c r="D299" s="304"/>
      <c r="E299" s="304"/>
      <c r="F299" s="304"/>
      <c r="G299" s="305"/>
      <c r="H299" s="302"/>
      <c r="I299" s="302"/>
      <c r="J299" s="302"/>
      <c r="K299" s="302"/>
      <c r="L299" s="223">
        <v>256</v>
      </c>
      <c r="M299" s="240">
        <f>M298/L298*100</f>
        <v>104.34782608695652</v>
      </c>
      <c r="N299" s="240">
        <f>N298/M298*100</f>
        <v>116.66666666666667</v>
      </c>
      <c r="O299" s="243">
        <f>O298/N298*100</f>
        <v>114.28571428571428</v>
      </c>
      <c r="P299" s="223"/>
      <c r="Q299" s="251">
        <v>110</v>
      </c>
      <c r="R299" s="223"/>
      <c r="S299" s="223">
        <f>S298/Q298*100</f>
        <v>102.94117647058823</v>
      </c>
      <c r="T299" s="331"/>
    </row>
    <row r="300" spans="1:20" ht="77.25" customHeight="1">
      <c r="A300" s="489" t="s">
        <v>979</v>
      </c>
      <c r="B300" s="489"/>
      <c r="C300" s="489"/>
      <c r="D300" s="489"/>
      <c r="E300" s="489"/>
      <c r="F300" s="489"/>
      <c r="G300" s="489"/>
      <c r="H300" s="489"/>
      <c r="I300" s="489"/>
      <c r="J300" s="489"/>
      <c r="K300" s="489"/>
      <c r="L300" s="489"/>
      <c r="M300" s="489"/>
      <c r="N300" s="489"/>
      <c r="O300" s="489"/>
      <c r="P300" s="489"/>
      <c r="Q300" s="489"/>
      <c r="R300" s="489"/>
      <c r="S300" s="489"/>
      <c r="T300" s="331"/>
    </row>
    <row r="301" spans="1:20" ht="14.25" customHeight="1">
      <c r="A301" s="493" t="s">
        <v>928</v>
      </c>
      <c r="B301" s="494"/>
      <c r="C301" s="494"/>
      <c r="D301" s="494"/>
      <c r="E301" s="494"/>
      <c r="F301" s="494"/>
      <c r="G301" s="494"/>
      <c r="H301" s="494"/>
      <c r="I301" s="494"/>
      <c r="J301" s="494"/>
      <c r="K301" s="494"/>
      <c r="L301" s="494"/>
      <c r="M301" s="494"/>
      <c r="N301" s="494"/>
      <c r="O301" s="494"/>
      <c r="P301" s="494"/>
      <c r="Q301" s="494"/>
      <c r="R301" s="494"/>
      <c r="S301" s="495"/>
      <c r="T301" s="297"/>
    </row>
    <row r="302" spans="1:20" ht="38.25" customHeight="1">
      <c r="A302" s="409" t="s">
        <v>929</v>
      </c>
      <c r="B302" s="425" t="s">
        <v>930</v>
      </c>
      <c r="C302" s="344"/>
      <c r="D302" s="345"/>
      <c r="E302" s="346"/>
      <c r="F302" s="347"/>
      <c r="G302" s="348"/>
      <c r="H302" s="349"/>
      <c r="I302" s="349"/>
      <c r="J302" s="349"/>
      <c r="K302" s="349"/>
      <c r="L302" s="240" t="e">
        <f>L303+#REF!</f>
        <v>#REF!</v>
      </c>
      <c r="M302" s="240"/>
      <c r="N302" s="240"/>
      <c r="O302" s="240"/>
      <c r="P302" s="223"/>
      <c r="Q302" s="223">
        <v>1500</v>
      </c>
      <c r="R302" s="223">
        <v>611</v>
      </c>
      <c r="S302" s="453">
        <v>915.1</v>
      </c>
      <c r="T302" s="297"/>
    </row>
    <row r="303" spans="1:20" ht="39" customHeight="1">
      <c r="A303" s="409" t="s">
        <v>931</v>
      </c>
      <c r="B303" s="425" t="s">
        <v>193</v>
      </c>
      <c r="C303" s="350"/>
      <c r="D303" s="351"/>
      <c r="E303" s="351"/>
      <c r="F303" s="351"/>
      <c r="G303" s="351"/>
      <c r="H303" s="352"/>
      <c r="I303" s="352"/>
      <c r="J303" s="352"/>
      <c r="K303" s="352"/>
      <c r="L303" s="269">
        <v>0.4</v>
      </c>
      <c r="M303" s="240"/>
      <c r="N303" s="240"/>
      <c r="O303" s="240"/>
      <c r="P303" s="223"/>
      <c r="Q303" s="453">
        <v>21254.9</v>
      </c>
      <c r="R303" s="453">
        <v>18106.2</v>
      </c>
      <c r="S303" s="453">
        <v>25707.1</v>
      </c>
      <c r="T303" s="297"/>
    </row>
    <row r="304" spans="1:20">
      <c r="A304" s="237"/>
      <c r="H304" s="357"/>
      <c r="I304" s="357"/>
      <c r="J304" s="357"/>
      <c r="K304" s="357"/>
      <c r="L304" s="249"/>
      <c r="M304" s="249"/>
      <c r="N304" s="249"/>
      <c r="O304" s="249"/>
      <c r="P304" s="451"/>
      <c r="Q304" s="451"/>
      <c r="R304" s="451"/>
      <c r="S304" s="451"/>
    </row>
    <row r="305" spans="1:19">
      <c r="A305" s="286" t="s">
        <v>846</v>
      </c>
      <c r="H305" s="357"/>
      <c r="I305" s="357"/>
      <c r="J305" s="357"/>
      <c r="K305" s="357"/>
      <c r="L305" s="249"/>
      <c r="M305" s="249"/>
      <c r="N305" s="249"/>
      <c r="O305" s="249"/>
      <c r="P305" s="451"/>
      <c r="Q305" s="451"/>
      <c r="R305" s="451"/>
      <c r="S305" s="451"/>
    </row>
    <row r="306" spans="1:19" ht="23.25" customHeight="1">
      <c r="A306" s="455" t="s">
        <v>954</v>
      </c>
      <c r="B306" s="455"/>
      <c r="C306" s="455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</row>
    <row r="307" spans="1:19">
      <c r="A307" s="286" t="s">
        <v>868</v>
      </c>
      <c r="H307" s="357"/>
      <c r="I307" s="357"/>
      <c r="J307" s="357"/>
      <c r="K307" s="357"/>
      <c r="L307" s="249"/>
      <c r="M307" s="249"/>
      <c r="N307" s="249"/>
      <c r="O307" s="249"/>
      <c r="P307" s="451"/>
      <c r="Q307" s="451"/>
      <c r="R307" s="451"/>
      <c r="S307" s="451"/>
    </row>
    <row r="308" spans="1:19" ht="19.5" customHeight="1">
      <c r="A308" s="454" t="s">
        <v>975</v>
      </c>
      <c r="B308" s="438"/>
      <c r="C308" s="439"/>
      <c r="D308" s="440"/>
      <c r="E308" s="441"/>
      <c r="F308" s="439"/>
      <c r="G308" s="442"/>
      <c r="H308" s="443"/>
      <c r="I308" s="443"/>
      <c r="J308" s="443"/>
      <c r="K308" s="443"/>
      <c r="L308" s="438"/>
      <c r="M308" s="444"/>
      <c r="N308" s="279"/>
      <c r="O308" s="279"/>
      <c r="P308" s="279"/>
      <c r="Q308" s="446"/>
      <c r="R308" s="446"/>
      <c r="S308" s="446"/>
    </row>
    <row r="309" spans="1:19" ht="12.75" customHeight="1">
      <c r="A309" s="454" t="s">
        <v>974</v>
      </c>
      <c r="B309" s="438"/>
      <c r="C309" s="439"/>
      <c r="D309" s="440"/>
      <c r="E309" s="441"/>
      <c r="F309" s="439"/>
      <c r="G309" s="442"/>
      <c r="H309" s="443"/>
      <c r="I309" s="443"/>
      <c r="J309" s="443"/>
      <c r="K309" s="443"/>
      <c r="L309" s="443"/>
      <c r="M309" s="444"/>
      <c r="N309" s="446"/>
      <c r="O309" s="303"/>
      <c r="P309" s="445"/>
      <c r="Q309" s="446"/>
      <c r="R309" s="490" t="s">
        <v>973</v>
      </c>
      <c r="S309" s="490"/>
    </row>
    <row r="310" spans="1:19">
      <c r="H310" s="357"/>
      <c r="I310" s="357"/>
      <c r="J310" s="357"/>
      <c r="K310" s="357"/>
      <c r="L310" s="249"/>
      <c r="M310" s="249"/>
      <c r="N310" s="249"/>
      <c r="O310" s="249"/>
      <c r="P310" s="451"/>
      <c r="Q310" s="451"/>
      <c r="R310" s="451"/>
      <c r="S310" s="451"/>
    </row>
    <row r="311" spans="1:19" ht="12">
      <c r="A311" s="287" t="s">
        <v>976</v>
      </c>
      <c r="H311" s="357"/>
      <c r="I311" s="357"/>
      <c r="J311" s="357"/>
      <c r="K311" s="357"/>
      <c r="L311" s="357"/>
      <c r="M311" s="357"/>
      <c r="N311" s="357"/>
      <c r="O311" s="357"/>
      <c r="P311" s="363"/>
      <c r="Q311" s="363"/>
      <c r="R311" s="363"/>
      <c r="S311" s="363"/>
    </row>
    <row r="312" spans="1:19" ht="12">
      <c r="A312" s="287"/>
      <c r="H312" s="357"/>
      <c r="I312" s="357"/>
      <c r="J312" s="357"/>
      <c r="K312" s="357"/>
      <c r="L312" s="357"/>
      <c r="M312" s="357"/>
      <c r="N312" s="357"/>
      <c r="O312" s="357"/>
      <c r="P312" s="363"/>
      <c r="Q312" s="363"/>
      <c r="R312" s="363"/>
      <c r="S312" s="363"/>
    </row>
    <row r="313" spans="1:19">
      <c r="H313" s="357"/>
      <c r="I313" s="357"/>
      <c r="J313" s="357"/>
      <c r="K313" s="357"/>
      <c r="L313" s="249"/>
      <c r="M313" s="249"/>
      <c r="N313" s="249"/>
      <c r="O313" s="249"/>
      <c r="P313" s="451"/>
      <c r="Q313" s="451"/>
      <c r="R313" s="451"/>
      <c r="S313" s="451"/>
    </row>
    <row r="314" spans="1:19">
      <c r="H314" s="357"/>
      <c r="I314" s="357"/>
      <c r="J314" s="357"/>
      <c r="K314" s="357"/>
      <c r="L314" s="249"/>
      <c r="M314" s="249"/>
      <c r="N314" s="249"/>
      <c r="O314" s="249"/>
      <c r="P314" s="451"/>
      <c r="Q314" s="451"/>
      <c r="R314" s="451"/>
      <c r="S314" s="451"/>
    </row>
    <row r="315" spans="1:19">
      <c r="A315" s="287"/>
      <c r="B315" s="431"/>
      <c r="C315" s="358"/>
      <c r="D315" s="359"/>
      <c r="E315" s="360"/>
      <c r="F315" s="358"/>
      <c r="G315" s="361"/>
      <c r="H315" s="357"/>
      <c r="I315" s="357"/>
      <c r="J315" s="357"/>
      <c r="K315" s="357"/>
      <c r="L315" s="287"/>
      <c r="M315" s="362"/>
      <c r="N315" s="279"/>
      <c r="O315" s="279"/>
      <c r="P315" s="379"/>
      <c r="Q315" s="451"/>
      <c r="R315" s="451"/>
      <c r="S315" s="451"/>
    </row>
    <row r="316" spans="1:19">
      <c r="A316" s="287"/>
      <c r="B316" s="431"/>
      <c r="C316" s="358"/>
      <c r="D316" s="359"/>
      <c r="E316" s="360"/>
      <c r="F316" s="358"/>
      <c r="G316" s="361"/>
      <c r="H316" s="357"/>
      <c r="I316" s="357"/>
      <c r="J316" s="357"/>
      <c r="K316" s="357"/>
      <c r="L316" s="357"/>
      <c r="M316" s="362"/>
      <c r="N316" s="363"/>
      <c r="Q316" s="451"/>
      <c r="R316" s="456"/>
      <c r="S316" s="456"/>
    </row>
    <row r="317" spans="1:19">
      <c r="H317" s="357"/>
      <c r="I317" s="357"/>
      <c r="J317" s="357"/>
      <c r="K317" s="357"/>
      <c r="L317" s="249"/>
      <c r="M317" s="249"/>
      <c r="N317" s="249"/>
      <c r="O317" s="249"/>
      <c r="P317" s="451"/>
      <c r="Q317" s="451"/>
      <c r="R317" s="451"/>
      <c r="S317" s="451"/>
    </row>
    <row r="318" spans="1:19">
      <c r="H318" s="357"/>
      <c r="I318" s="357"/>
      <c r="J318" s="357"/>
      <c r="K318" s="357"/>
      <c r="L318" s="249"/>
      <c r="M318" s="249"/>
      <c r="N318" s="249"/>
      <c r="O318" s="249"/>
      <c r="P318" s="451"/>
      <c r="Q318" s="451"/>
      <c r="R318" s="451"/>
      <c r="S318" s="451"/>
    </row>
    <row r="319" spans="1:19">
      <c r="H319" s="357"/>
      <c r="I319" s="357"/>
      <c r="J319" s="357"/>
      <c r="K319" s="357"/>
      <c r="L319" s="249"/>
      <c r="M319" s="249"/>
      <c r="N319" s="249"/>
      <c r="O319" s="249"/>
      <c r="P319" s="451"/>
      <c r="Q319" s="451"/>
      <c r="R319" s="451"/>
      <c r="S319" s="451"/>
    </row>
    <row r="320" spans="1:19">
      <c r="H320" s="357"/>
      <c r="I320" s="357"/>
      <c r="J320" s="357"/>
      <c r="K320" s="357"/>
      <c r="L320" s="249"/>
      <c r="M320" s="249"/>
      <c r="N320" s="249"/>
      <c r="O320" s="249"/>
      <c r="P320" s="451"/>
      <c r="Q320" s="451"/>
      <c r="R320" s="451"/>
      <c r="S320" s="451"/>
    </row>
    <row r="321" spans="8:19">
      <c r="H321" s="357"/>
      <c r="I321" s="357"/>
      <c r="J321" s="357"/>
      <c r="K321" s="357"/>
      <c r="L321" s="249"/>
      <c r="M321" s="249"/>
      <c r="N321" s="249"/>
      <c r="O321" s="249"/>
      <c r="P321" s="451"/>
      <c r="Q321" s="451"/>
      <c r="R321" s="451"/>
      <c r="S321" s="451"/>
    </row>
    <row r="322" spans="8:19">
      <c r="H322" s="357"/>
      <c r="I322" s="357"/>
      <c r="J322" s="357"/>
      <c r="K322" s="357"/>
      <c r="L322" s="249"/>
      <c r="M322" s="249"/>
      <c r="N322" s="249"/>
      <c r="O322" s="249"/>
      <c r="P322" s="451"/>
      <c r="Q322" s="451"/>
      <c r="R322" s="451"/>
      <c r="S322" s="451"/>
    </row>
    <row r="323" spans="8:19">
      <c r="H323" s="357"/>
      <c r="I323" s="357"/>
      <c r="J323" s="357"/>
      <c r="K323" s="357"/>
      <c r="L323" s="249"/>
      <c r="M323" s="249"/>
      <c r="N323" s="249"/>
      <c r="O323" s="249"/>
      <c r="P323" s="451"/>
      <c r="Q323" s="451"/>
      <c r="R323" s="451"/>
      <c r="S323" s="451"/>
    </row>
    <row r="324" spans="8:19">
      <c r="H324" s="357"/>
      <c r="I324" s="357"/>
      <c r="J324" s="357"/>
      <c r="K324" s="357"/>
      <c r="L324" s="249"/>
      <c r="M324" s="249"/>
      <c r="N324" s="249"/>
      <c r="O324" s="249"/>
      <c r="P324" s="451"/>
      <c r="Q324" s="451"/>
      <c r="R324" s="451"/>
      <c r="S324" s="451"/>
    </row>
    <row r="325" spans="8:19">
      <c r="H325" s="357"/>
      <c r="I325" s="357"/>
      <c r="J325" s="357"/>
      <c r="K325" s="357"/>
      <c r="L325" s="249"/>
      <c r="M325" s="249"/>
      <c r="N325" s="249"/>
      <c r="O325" s="249"/>
      <c r="P325" s="451"/>
      <c r="Q325" s="451"/>
      <c r="R325" s="451"/>
      <c r="S325" s="451"/>
    </row>
    <row r="326" spans="8:19">
      <c r="H326" s="357"/>
      <c r="I326" s="357"/>
      <c r="J326" s="357"/>
      <c r="K326" s="357"/>
      <c r="L326" s="249"/>
      <c r="M326" s="249"/>
      <c r="N326" s="249"/>
      <c r="O326" s="249"/>
      <c r="P326" s="451"/>
      <c r="Q326" s="451"/>
      <c r="R326" s="451"/>
      <c r="S326" s="451"/>
    </row>
    <row r="327" spans="8:19">
      <c r="H327" s="357"/>
      <c r="I327" s="357"/>
      <c r="J327" s="357"/>
      <c r="K327" s="357"/>
      <c r="L327" s="249"/>
      <c r="M327" s="249"/>
      <c r="N327" s="249"/>
      <c r="O327" s="249"/>
      <c r="P327" s="451"/>
      <c r="Q327" s="451"/>
      <c r="R327" s="451"/>
      <c r="S327" s="451"/>
    </row>
    <row r="328" spans="8:19">
      <c r="H328" s="357"/>
      <c r="I328" s="357"/>
      <c r="J328" s="357"/>
      <c r="K328" s="357"/>
      <c r="L328" s="249"/>
      <c r="M328" s="249"/>
      <c r="N328" s="249"/>
      <c r="O328" s="249"/>
      <c r="P328" s="451"/>
      <c r="Q328" s="451"/>
      <c r="R328" s="451"/>
      <c r="S328" s="451"/>
    </row>
    <row r="329" spans="8:19">
      <c r="H329" s="357"/>
      <c r="I329" s="357"/>
      <c r="J329" s="357"/>
      <c r="K329" s="357"/>
      <c r="L329" s="249"/>
      <c r="M329" s="249"/>
      <c r="N329" s="249"/>
      <c r="O329" s="249"/>
      <c r="P329" s="451"/>
      <c r="Q329" s="451"/>
      <c r="R329" s="451"/>
      <c r="S329" s="451"/>
    </row>
    <row r="330" spans="8:19">
      <c r="H330" s="357"/>
      <c r="I330" s="357"/>
      <c r="J330" s="357"/>
      <c r="K330" s="357"/>
      <c r="L330" s="249"/>
      <c r="M330" s="249"/>
      <c r="N330" s="249"/>
      <c r="O330" s="249"/>
      <c r="P330" s="451"/>
      <c r="Q330" s="451"/>
      <c r="R330" s="451"/>
      <c r="S330" s="451"/>
    </row>
    <row r="331" spans="8:19">
      <c r="H331" s="357"/>
      <c r="I331" s="357"/>
      <c r="J331" s="357"/>
      <c r="K331" s="357"/>
      <c r="L331" s="249"/>
      <c r="M331" s="249"/>
      <c r="N331" s="249"/>
      <c r="O331" s="249"/>
      <c r="P331" s="451"/>
      <c r="Q331" s="451"/>
      <c r="R331" s="451"/>
      <c r="S331" s="451"/>
    </row>
    <row r="332" spans="8:19">
      <c r="H332" s="357"/>
      <c r="I332" s="357"/>
      <c r="J332" s="357"/>
      <c r="K332" s="357"/>
      <c r="L332" s="249"/>
      <c r="M332" s="249"/>
      <c r="N332" s="249"/>
      <c r="O332" s="249"/>
      <c r="P332" s="451"/>
      <c r="Q332" s="451"/>
      <c r="R332" s="451"/>
      <c r="S332" s="451"/>
    </row>
    <row r="333" spans="8:19">
      <c r="H333" s="357"/>
      <c r="I333" s="357"/>
      <c r="J333" s="357"/>
      <c r="K333" s="357"/>
      <c r="L333" s="249"/>
      <c r="M333" s="249"/>
      <c r="N333" s="249"/>
      <c r="O333" s="249"/>
      <c r="P333" s="451"/>
      <c r="Q333" s="451"/>
      <c r="R333" s="451"/>
      <c r="S333" s="451"/>
    </row>
    <row r="334" spans="8:19">
      <c r="H334" s="357"/>
      <c r="I334" s="357"/>
      <c r="J334" s="357"/>
      <c r="K334" s="357"/>
      <c r="L334" s="249"/>
      <c r="M334" s="249"/>
      <c r="N334" s="249"/>
      <c r="O334" s="249"/>
      <c r="P334" s="451"/>
      <c r="Q334" s="451"/>
      <c r="R334" s="451"/>
      <c r="S334" s="451"/>
    </row>
    <row r="335" spans="8:19">
      <c r="H335" s="357"/>
      <c r="I335" s="357"/>
      <c r="J335" s="357"/>
      <c r="K335" s="357"/>
      <c r="L335" s="249"/>
      <c r="M335" s="249"/>
      <c r="N335" s="249"/>
      <c r="O335" s="249"/>
      <c r="P335" s="451"/>
      <c r="Q335" s="451"/>
      <c r="R335" s="451"/>
      <c r="S335" s="451"/>
    </row>
    <row r="336" spans="8:19">
      <c r="H336" s="357"/>
      <c r="I336" s="357"/>
      <c r="J336" s="357"/>
      <c r="K336" s="357"/>
      <c r="L336" s="249"/>
      <c r="M336" s="249"/>
      <c r="N336" s="249"/>
      <c r="O336" s="249"/>
      <c r="P336" s="451"/>
      <c r="Q336" s="451"/>
      <c r="R336" s="451"/>
      <c r="S336" s="451"/>
    </row>
    <row r="337" spans="8:19">
      <c r="H337" s="357"/>
      <c r="I337" s="357"/>
      <c r="J337" s="357"/>
      <c r="K337" s="357"/>
      <c r="L337" s="249"/>
      <c r="M337" s="249"/>
      <c r="N337" s="249"/>
      <c r="O337" s="249"/>
      <c r="P337" s="451"/>
      <c r="Q337" s="451"/>
      <c r="R337" s="451"/>
      <c r="S337" s="451"/>
    </row>
    <row r="338" spans="8:19">
      <c r="H338" s="357"/>
      <c r="I338" s="357"/>
      <c r="J338" s="357"/>
      <c r="K338" s="357"/>
      <c r="L338" s="249"/>
      <c r="M338" s="249"/>
      <c r="N338" s="249"/>
      <c r="O338" s="249"/>
      <c r="P338" s="451"/>
      <c r="Q338" s="451"/>
      <c r="R338" s="451"/>
      <c r="S338" s="451"/>
    </row>
    <row r="339" spans="8:19">
      <c r="H339" s="357"/>
      <c r="I339" s="357"/>
      <c r="J339" s="357"/>
      <c r="K339" s="357"/>
      <c r="L339" s="249"/>
      <c r="M339" s="249"/>
      <c r="N339" s="249"/>
      <c r="O339" s="249"/>
      <c r="P339" s="451"/>
      <c r="Q339" s="451"/>
      <c r="R339" s="451"/>
      <c r="S339" s="451"/>
    </row>
    <row r="340" spans="8:19">
      <c r="H340" s="357"/>
      <c r="I340" s="357"/>
      <c r="J340" s="357"/>
      <c r="K340" s="357"/>
      <c r="L340" s="249"/>
      <c r="M340" s="249"/>
      <c r="N340" s="249"/>
      <c r="O340" s="249"/>
      <c r="P340" s="451"/>
      <c r="Q340" s="451"/>
      <c r="R340" s="451"/>
      <c r="S340" s="451"/>
    </row>
    <row r="341" spans="8:19">
      <c r="H341" s="357"/>
      <c r="I341" s="357"/>
      <c r="J341" s="357"/>
      <c r="K341" s="357"/>
      <c r="L341" s="249"/>
      <c r="M341" s="249"/>
      <c r="N341" s="249"/>
      <c r="O341" s="249"/>
      <c r="P341" s="451"/>
      <c r="Q341" s="451"/>
      <c r="R341" s="451"/>
      <c r="S341" s="451"/>
    </row>
    <row r="342" spans="8:19">
      <c r="H342" s="357"/>
      <c r="I342" s="357"/>
      <c r="J342" s="357"/>
      <c r="K342" s="357"/>
      <c r="L342" s="249"/>
      <c r="M342" s="249"/>
      <c r="N342" s="249"/>
      <c r="O342" s="249"/>
      <c r="P342" s="451"/>
      <c r="Q342" s="451"/>
      <c r="R342" s="451"/>
      <c r="S342" s="451"/>
    </row>
    <row r="343" spans="8:19">
      <c r="H343" s="357"/>
      <c r="I343" s="357"/>
      <c r="J343" s="357"/>
      <c r="K343" s="357"/>
      <c r="L343" s="249"/>
      <c r="M343" s="249"/>
      <c r="N343" s="249"/>
      <c r="O343" s="249"/>
      <c r="P343" s="451"/>
      <c r="Q343" s="451"/>
      <c r="R343" s="451"/>
      <c r="S343" s="451"/>
    </row>
    <row r="344" spans="8:19">
      <c r="H344" s="357"/>
      <c r="I344" s="357"/>
      <c r="J344" s="357"/>
      <c r="K344" s="357"/>
      <c r="L344" s="249"/>
      <c r="M344" s="249"/>
      <c r="N344" s="249"/>
      <c r="O344" s="249"/>
      <c r="P344" s="451"/>
      <c r="Q344" s="451"/>
      <c r="R344" s="451"/>
      <c r="S344" s="451"/>
    </row>
    <row r="345" spans="8:19">
      <c r="H345" s="357"/>
      <c r="I345" s="357"/>
      <c r="J345" s="357"/>
      <c r="K345" s="357"/>
      <c r="L345" s="249"/>
      <c r="M345" s="249"/>
      <c r="N345" s="249"/>
      <c r="O345" s="249"/>
      <c r="P345" s="451"/>
      <c r="Q345" s="451"/>
      <c r="R345" s="451"/>
      <c r="S345" s="451"/>
    </row>
    <row r="346" spans="8:19">
      <c r="H346" s="357"/>
      <c r="I346" s="357"/>
      <c r="J346" s="357"/>
      <c r="K346" s="357"/>
      <c r="L346" s="249"/>
      <c r="M346" s="249"/>
      <c r="N346" s="249"/>
      <c r="O346" s="249"/>
      <c r="P346" s="451"/>
      <c r="Q346" s="451"/>
      <c r="R346" s="451"/>
      <c r="S346" s="451"/>
    </row>
    <row r="347" spans="8:19">
      <c r="H347" s="357"/>
      <c r="I347" s="357"/>
      <c r="J347" s="357"/>
      <c r="K347" s="357"/>
      <c r="L347" s="249"/>
      <c r="M347" s="249"/>
      <c r="N347" s="249"/>
      <c r="O347" s="249"/>
      <c r="P347" s="451"/>
      <c r="Q347" s="451"/>
      <c r="R347" s="451"/>
      <c r="S347" s="451"/>
    </row>
    <row r="348" spans="8:19">
      <c r="H348" s="357"/>
      <c r="I348" s="357"/>
      <c r="J348" s="357"/>
      <c r="K348" s="357"/>
      <c r="L348" s="249"/>
      <c r="M348" s="249"/>
      <c r="N348" s="249"/>
      <c r="O348" s="249"/>
      <c r="P348" s="451"/>
      <c r="Q348" s="451"/>
      <c r="R348" s="451"/>
      <c r="S348" s="451"/>
    </row>
    <row r="349" spans="8:19">
      <c r="H349" s="357"/>
      <c r="I349" s="357"/>
      <c r="J349" s="357"/>
      <c r="K349" s="357"/>
      <c r="L349" s="249"/>
      <c r="M349" s="249"/>
      <c r="N349" s="249"/>
      <c r="O349" s="249"/>
      <c r="P349" s="451"/>
      <c r="Q349" s="451"/>
      <c r="R349" s="451"/>
      <c r="S349" s="451"/>
    </row>
    <row r="350" spans="8:19">
      <c r="H350" s="357"/>
      <c r="I350" s="357"/>
      <c r="J350" s="357"/>
      <c r="K350" s="357"/>
      <c r="L350" s="249"/>
      <c r="M350" s="249"/>
      <c r="N350" s="249"/>
      <c r="O350" s="249"/>
      <c r="P350" s="451"/>
      <c r="Q350" s="451"/>
      <c r="R350" s="451"/>
      <c r="S350" s="451"/>
    </row>
    <row r="351" spans="8:19">
      <c r="H351" s="357"/>
      <c r="I351" s="357"/>
      <c r="J351" s="357"/>
      <c r="K351" s="357"/>
      <c r="L351" s="249"/>
      <c r="M351" s="249"/>
      <c r="N351" s="249"/>
      <c r="O351" s="249"/>
      <c r="P351" s="451"/>
      <c r="Q351" s="451"/>
      <c r="R351" s="451"/>
      <c r="S351" s="451"/>
    </row>
    <row r="352" spans="8:19">
      <c r="H352" s="357"/>
      <c r="I352" s="357"/>
      <c r="J352" s="357"/>
      <c r="K352" s="357"/>
      <c r="L352" s="249"/>
      <c r="M352" s="249"/>
      <c r="N352" s="249"/>
      <c r="O352" s="249"/>
      <c r="P352" s="451"/>
      <c r="Q352" s="451"/>
      <c r="R352" s="451"/>
      <c r="S352" s="451"/>
    </row>
    <row r="353" spans="8:19">
      <c r="H353" s="357"/>
      <c r="I353" s="357"/>
      <c r="J353" s="357"/>
      <c r="K353" s="357"/>
      <c r="L353" s="249"/>
      <c r="M353" s="249"/>
      <c r="N353" s="249"/>
      <c r="O353" s="249"/>
      <c r="P353" s="451"/>
      <c r="Q353" s="451"/>
      <c r="R353" s="451"/>
      <c r="S353" s="451"/>
    </row>
    <row r="354" spans="8:19">
      <c r="H354" s="357"/>
      <c r="I354" s="357"/>
      <c r="J354" s="357"/>
      <c r="K354" s="357"/>
      <c r="L354" s="249"/>
      <c r="M354" s="249"/>
      <c r="N354" s="249"/>
      <c r="O354" s="249"/>
      <c r="P354" s="451"/>
      <c r="Q354" s="451"/>
      <c r="R354" s="451"/>
      <c r="S354" s="451"/>
    </row>
    <row r="355" spans="8:19">
      <c r="H355" s="357"/>
      <c r="I355" s="357"/>
      <c r="J355" s="357"/>
      <c r="K355" s="357"/>
      <c r="L355" s="249"/>
      <c r="M355" s="249"/>
      <c r="N355" s="249"/>
      <c r="O355" s="249"/>
      <c r="P355" s="451"/>
      <c r="Q355" s="451"/>
      <c r="R355" s="451"/>
      <c r="S355" s="451"/>
    </row>
    <row r="356" spans="8:19">
      <c r="H356" s="357"/>
      <c r="I356" s="357"/>
      <c r="J356" s="357"/>
      <c r="K356" s="357"/>
      <c r="L356" s="249"/>
      <c r="M356" s="249"/>
      <c r="N356" s="249"/>
      <c r="O356" s="249"/>
      <c r="P356" s="451"/>
      <c r="Q356" s="451"/>
      <c r="R356" s="451"/>
      <c r="S356" s="451"/>
    </row>
    <row r="357" spans="8:19">
      <c r="H357" s="357"/>
      <c r="I357" s="357"/>
      <c r="J357" s="357"/>
      <c r="K357" s="357"/>
      <c r="L357" s="249"/>
      <c r="M357" s="249"/>
      <c r="N357" s="249"/>
      <c r="O357" s="249"/>
      <c r="P357" s="451"/>
      <c r="Q357" s="451"/>
      <c r="R357" s="451"/>
      <c r="S357" s="451"/>
    </row>
    <row r="358" spans="8:19">
      <c r="H358" s="357"/>
      <c r="I358" s="357"/>
      <c r="J358" s="357"/>
      <c r="K358" s="357"/>
      <c r="L358" s="249"/>
      <c r="M358" s="249"/>
      <c r="N358" s="249"/>
      <c r="O358" s="249"/>
      <c r="P358" s="451"/>
      <c r="Q358" s="451"/>
      <c r="R358" s="451"/>
      <c r="S358" s="451"/>
    </row>
    <row r="359" spans="8:19">
      <c r="H359" s="357"/>
      <c r="I359" s="357"/>
      <c r="J359" s="357"/>
      <c r="K359" s="357"/>
      <c r="L359" s="249"/>
      <c r="M359" s="249"/>
      <c r="N359" s="249"/>
      <c r="O359" s="249"/>
      <c r="P359" s="451"/>
      <c r="Q359" s="451"/>
      <c r="R359" s="451"/>
      <c r="S359" s="451"/>
    </row>
    <row r="360" spans="8:19">
      <c r="H360" s="357"/>
      <c r="I360" s="357"/>
      <c r="J360" s="357"/>
      <c r="K360" s="357"/>
      <c r="L360" s="249"/>
      <c r="M360" s="249"/>
      <c r="N360" s="249"/>
      <c r="O360" s="249"/>
      <c r="P360" s="451"/>
      <c r="Q360" s="451"/>
      <c r="R360" s="451"/>
      <c r="S360" s="451"/>
    </row>
    <row r="361" spans="8:19">
      <c r="H361" s="357"/>
      <c r="I361" s="357"/>
      <c r="J361" s="357"/>
      <c r="K361" s="357"/>
      <c r="L361" s="249"/>
      <c r="M361" s="249"/>
      <c r="N361" s="249"/>
      <c r="O361" s="249"/>
      <c r="P361" s="451"/>
      <c r="Q361" s="451"/>
      <c r="R361" s="451"/>
      <c r="S361" s="451"/>
    </row>
    <row r="362" spans="8:19">
      <c r="H362" s="357"/>
      <c r="I362" s="357"/>
      <c r="J362" s="357"/>
      <c r="K362" s="357"/>
      <c r="L362" s="249"/>
      <c r="M362" s="249"/>
      <c r="N362" s="249"/>
      <c r="O362" s="249"/>
      <c r="P362" s="451"/>
      <c r="Q362" s="451"/>
      <c r="R362" s="451"/>
      <c r="S362" s="451"/>
    </row>
    <row r="363" spans="8:19">
      <c r="H363" s="357"/>
      <c r="I363" s="357"/>
      <c r="J363" s="357"/>
      <c r="K363" s="357"/>
      <c r="L363" s="249"/>
      <c r="M363" s="249"/>
      <c r="N363" s="249"/>
      <c r="O363" s="249"/>
      <c r="P363" s="451"/>
      <c r="Q363" s="451"/>
      <c r="R363" s="451"/>
      <c r="S363" s="451"/>
    </row>
    <row r="364" spans="8:19">
      <c r="H364" s="357"/>
      <c r="I364" s="357"/>
      <c r="J364" s="357"/>
      <c r="K364" s="357"/>
      <c r="L364" s="249"/>
      <c r="M364" s="249"/>
      <c r="N364" s="249"/>
      <c r="O364" s="249"/>
      <c r="P364" s="451"/>
      <c r="Q364" s="451"/>
      <c r="R364" s="451"/>
      <c r="S364" s="451"/>
    </row>
    <row r="365" spans="8:19">
      <c r="H365" s="357"/>
      <c r="I365" s="357"/>
      <c r="J365" s="357"/>
      <c r="K365" s="357"/>
      <c r="L365" s="249"/>
      <c r="M365" s="249"/>
      <c r="N365" s="249"/>
      <c r="O365" s="249"/>
      <c r="P365" s="451"/>
      <c r="Q365" s="451"/>
      <c r="R365" s="451"/>
      <c r="S365" s="451"/>
    </row>
    <row r="366" spans="8:19">
      <c r="H366" s="357"/>
      <c r="I366" s="357"/>
      <c r="J366" s="357"/>
      <c r="K366" s="357"/>
      <c r="L366" s="249"/>
      <c r="M366" s="249"/>
      <c r="N366" s="249"/>
      <c r="O366" s="249"/>
      <c r="P366" s="451"/>
      <c r="Q366" s="451"/>
      <c r="R366" s="451"/>
      <c r="S366" s="451"/>
    </row>
    <row r="367" spans="8:19">
      <c r="H367" s="357"/>
      <c r="I367" s="357"/>
      <c r="J367" s="357"/>
      <c r="K367" s="357"/>
      <c r="L367" s="249"/>
      <c r="M367" s="249"/>
      <c r="N367" s="249"/>
      <c r="O367" s="249"/>
      <c r="P367" s="451"/>
      <c r="Q367" s="451"/>
      <c r="R367" s="451"/>
      <c r="S367" s="451"/>
    </row>
    <row r="368" spans="8:19">
      <c r="H368" s="357"/>
      <c r="I368" s="357"/>
      <c r="J368" s="357"/>
      <c r="K368" s="357"/>
      <c r="L368" s="249"/>
      <c r="M368" s="249"/>
      <c r="N368" s="249"/>
      <c r="O368" s="249"/>
      <c r="P368" s="451"/>
      <c r="Q368" s="451"/>
      <c r="R368" s="451"/>
      <c r="S368" s="451"/>
    </row>
    <row r="369" spans="8:19">
      <c r="H369" s="357"/>
      <c r="I369" s="357"/>
      <c r="J369" s="357"/>
      <c r="K369" s="357"/>
      <c r="L369" s="249"/>
      <c r="M369" s="249"/>
      <c r="N369" s="249"/>
      <c r="O369" s="249"/>
      <c r="P369" s="451"/>
      <c r="Q369" s="451"/>
      <c r="R369" s="451"/>
      <c r="S369" s="451"/>
    </row>
    <row r="370" spans="8:19">
      <c r="H370" s="357"/>
      <c r="I370" s="357"/>
      <c r="J370" s="357"/>
      <c r="K370" s="357"/>
      <c r="L370" s="249"/>
      <c r="M370" s="249"/>
      <c r="N370" s="249"/>
      <c r="O370" s="249"/>
      <c r="P370" s="451"/>
      <c r="Q370" s="451"/>
      <c r="R370" s="451"/>
      <c r="S370" s="451"/>
    </row>
    <row r="371" spans="8:19">
      <c r="H371" s="357"/>
      <c r="I371" s="357"/>
      <c r="J371" s="357"/>
      <c r="K371" s="357"/>
      <c r="L371" s="249"/>
      <c r="M371" s="249"/>
      <c r="N371" s="249"/>
      <c r="O371" s="249"/>
      <c r="P371" s="451"/>
      <c r="Q371" s="451"/>
      <c r="R371" s="451"/>
      <c r="S371" s="451"/>
    </row>
    <row r="372" spans="8:19">
      <c r="H372" s="357"/>
      <c r="I372" s="357"/>
      <c r="J372" s="357"/>
      <c r="K372" s="357"/>
      <c r="L372" s="249"/>
      <c r="M372" s="249"/>
      <c r="N372" s="249"/>
      <c r="O372" s="249"/>
      <c r="P372" s="451"/>
      <c r="Q372" s="451"/>
      <c r="R372" s="451"/>
      <c r="S372" s="451"/>
    </row>
    <row r="373" spans="8:19">
      <c r="H373" s="357"/>
      <c r="I373" s="357"/>
      <c r="J373" s="357"/>
      <c r="K373" s="357"/>
      <c r="L373" s="249"/>
      <c r="M373" s="249"/>
      <c r="N373" s="249"/>
      <c r="O373" s="249"/>
      <c r="P373" s="451"/>
      <c r="Q373" s="451"/>
      <c r="R373" s="451"/>
      <c r="S373" s="451"/>
    </row>
    <row r="374" spans="8:19">
      <c r="H374" s="357"/>
      <c r="I374" s="357"/>
      <c r="J374" s="357"/>
      <c r="K374" s="357"/>
      <c r="L374" s="249"/>
      <c r="M374" s="249"/>
      <c r="N374" s="249"/>
      <c r="O374" s="249"/>
      <c r="P374" s="451"/>
      <c r="Q374" s="451"/>
      <c r="R374" s="451"/>
      <c r="S374" s="451"/>
    </row>
    <row r="375" spans="8:19">
      <c r="H375" s="357"/>
      <c r="I375" s="357"/>
      <c r="J375" s="357"/>
      <c r="K375" s="357"/>
      <c r="L375" s="249"/>
      <c r="M375" s="249"/>
      <c r="N375" s="249"/>
      <c r="O375" s="249"/>
      <c r="P375" s="451"/>
      <c r="Q375" s="451"/>
      <c r="R375" s="451"/>
      <c r="S375" s="451"/>
    </row>
    <row r="376" spans="8:19">
      <c r="H376" s="357"/>
      <c r="I376" s="357"/>
      <c r="J376" s="357"/>
      <c r="K376" s="357"/>
      <c r="L376" s="249"/>
      <c r="M376" s="249"/>
      <c r="N376" s="249"/>
      <c r="O376" s="249"/>
      <c r="P376" s="451"/>
      <c r="Q376" s="451"/>
      <c r="R376" s="451"/>
      <c r="S376" s="451"/>
    </row>
    <row r="377" spans="8:19">
      <c r="H377" s="357"/>
      <c r="I377" s="357"/>
      <c r="J377" s="357"/>
      <c r="K377" s="357"/>
      <c r="L377" s="249"/>
      <c r="M377" s="249"/>
      <c r="N377" s="249"/>
      <c r="O377" s="249"/>
      <c r="P377" s="451"/>
      <c r="Q377" s="451"/>
      <c r="R377" s="451"/>
      <c r="S377" s="451"/>
    </row>
    <row r="378" spans="8:19">
      <c r="H378" s="357"/>
      <c r="I378" s="357"/>
      <c r="J378" s="357"/>
      <c r="K378" s="357"/>
      <c r="L378" s="249"/>
      <c r="M378" s="249"/>
      <c r="N378" s="249"/>
      <c r="O378" s="249"/>
      <c r="P378" s="451"/>
      <c r="Q378" s="451"/>
      <c r="R378" s="451"/>
      <c r="S378" s="451"/>
    </row>
    <row r="379" spans="8:19">
      <c r="H379" s="357"/>
      <c r="I379" s="357"/>
      <c r="J379" s="357"/>
      <c r="K379" s="357"/>
      <c r="L379" s="249"/>
      <c r="M379" s="249"/>
      <c r="N379" s="249"/>
      <c r="O379" s="249"/>
      <c r="P379" s="451"/>
      <c r="Q379" s="451"/>
      <c r="R379" s="451"/>
      <c r="S379" s="451"/>
    </row>
    <row r="380" spans="8:19">
      <c r="H380" s="357"/>
      <c r="I380" s="357"/>
      <c r="J380" s="357"/>
      <c r="K380" s="357"/>
      <c r="L380" s="249"/>
      <c r="M380" s="249"/>
      <c r="N380" s="249"/>
      <c r="O380" s="249"/>
      <c r="P380" s="451"/>
      <c r="Q380" s="451"/>
      <c r="R380" s="451"/>
      <c r="S380" s="451"/>
    </row>
    <row r="381" spans="8:19">
      <c r="H381" s="357"/>
      <c r="I381" s="357"/>
      <c r="J381" s="357"/>
      <c r="K381" s="357"/>
      <c r="L381" s="249"/>
      <c r="M381" s="249"/>
      <c r="N381" s="249"/>
      <c r="O381" s="249"/>
      <c r="P381" s="451"/>
      <c r="Q381" s="451"/>
      <c r="R381" s="451"/>
      <c r="S381" s="451"/>
    </row>
    <row r="382" spans="8:19">
      <c r="H382" s="357"/>
      <c r="I382" s="357"/>
      <c r="J382" s="357"/>
      <c r="K382" s="357"/>
      <c r="L382" s="249"/>
      <c r="M382" s="249"/>
      <c r="N382" s="249"/>
      <c r="O382" s="249"/>
      <c r="P382" s="451"/>
      <c r="Q382" s="451"/>
      <c r="R382" s="451"/>
      <c r="S382" s="451"/>
    </row>
    <row r="383" spans="8:19">
      <c r="H383" s="357"/>
      <c r="I383" s="357"/>
      <c r="J383" s="357"/>
      <c r="K383" s="357"/>
      <c r="L383" s="249"/>
      <c r="M383" s="249"/>
      <c r="N383" s="249"/>
      <c r="O383" s="249"/>
      <c r="P383" s="451"/>
      <c r="Q383" s="451"/>
      <c r="R383" s="451"/>
      <c r="S383" s="451"/>
    </row>
    <row r="384" spans="8:19">
      <c r="H384" s="357"/>
      <c r="I384" s="357"/>
      <c r="J384" s="357"/>
      <c r="K384" s="357"/>
      <c r="L384" s="249"/>
      <c r="M384" s="249"/>
      <c r="N384" s="249"/>
      <c r="O384" s="249"/>
      <c r="P384" s="451"/>
      <c r="Q384" s="451"/>
      <c r="R384" s="451"/>
      <c r="S384" s="451"/>
    </row>
    <row r="385" spans="8:19">
      <c r="H385" s="357"/>
      <c r="I385" s="357"/>
      <c r="J385" s="357"/>
      <c r="K385" s="357"/>
      <c r="L385" s="249"/>
      <c r="M385" s="249"/>
      <c r="N385" s="249"/>
      <c r="O385" s="249"/>
      <c r="P385" s="451"/>
      <c r="Q385" s="451"/>
      <c r="R385" s="451"/>
      <c r="S385" s="451"/>
    </row>
    <row r="386" spans="8:19">
      <c r="H386" s="357"/>
      <c r="I386" s="357"/>
      <c r="J386" s="357"/>
      <c r="K386" s="357"/>
      <c r="L386" s="249"/>
      <c r="M386" s="249"/>
      <c r="N386" s="249"/>
      <c r="O386" s="249"/>
      <c r="P386" s="451"/>
      <c r="Q386" s="451"/>
      <c r="R386" s="451"/>
      <c r="S386" s="451"/>
    </row>
    <row r="387" spans="8:19">
      <c r="H387" s="357"/>
      <c r="I387" s="357"/>
      <c r="J387" s="357"/>
      <c r="K387" s="357"/>
      <c r="L387" s="249"/>
      <c r="M387" s="249"/>
      <c r="N387" s="249"/>
      <c r="O387" s="249"/>
      <c r="P387" s="451"/>
      <c r="Q387" s="451"/>
      <c r="R387" s="451"/>
      <c r="S387" s="451"/>
    </row>
    <row r="388" spans="8:19">
      <c r="H388" s="357"/>
      <c r="I388" s="357"/>
      <c r="J388" s="357"/>
      <c r="K388" s="357"/>
      <c r="L388" s="249"/>
      <c r="M388" s="249"/>
      <c r="N388" s="249"/>
      <c r="O388" s="249"/>
      <c r="P388" s="451"/>
      <c r="Q388" s="451"/>
      <c r="R388" s="451"/>
      <c r="S388" s="451"/>
    </row>
    <row r="389" spans="8:19">
      <c r="H389" s="357"/>
      <c r="I389" s="357"/>
      <c r="J389" s="357"/>
      <c r="K389" s="357"/>
      <c r="L389" s="249"/>
      <c r="M389" s="249"/>
      <c r="N389" s="249"/>
      <c r="O389" s="249"/>
      <c r="P389" s="451"/>
      <c r="Q389" s="451"/>
      <c r="R389" s="451"/>
      <c r="S389" s="451"/>
    </row>
    <row r="390" spans="8:19">
      <c r="H390" s="357"/>
      <c r="I390" s="357"/>
      <c r="J390" s="357"/>
      <c r="K390" s="357"/>
      <c r="L390" s="249"/>
      <c r="M390" s="249"/>
      <c r="N390" s="249"/>
      <c r="O390" s="249"/>
      <c r="P390" s="451"/>
      <c r="Q390" s="451"/>
      <c r="R390" s="451"/>
      <c r="S390" s="451"/>
    </row>
    <row r="391" spans="8:19">
      <c r="H391" s="357"/>
      <c r="I391" s="357"/>
      <c r="J391" s="357"/>
      <c r="K391" s="357"/>
      <c r="L391" s="249"/>
      <c r="M391" s="249"/>
      <c r="N391" s="249"/>
      <c r="O391" s="249"/>
      <c r="P391" s="451"/>
      <c r="Q391" s="451"/>
      <c r="R391" s="451"/>
      <c r="S391" s="451"/>
    </row>
    <row r="392" spans="8:19">
      <c r="H392" s="357"/>
      <c r="I392" s="357"/>
      <c r="J392" s="357"/>
      <c r="K392" s="357"/>
      <c r="L392" s="249"/>
      <c r="M392" s="249"/>
      <c r="N392" s="249"/>
      <c r="O392" s="249"/>
      <c r="P392" s="451"/>
      <c r="Q392" s="451"/>
      <c r="R392" s="451"/>
      <c r="S392" s="451"/>
    </row>
    <row r="393" spans="8:19">
      <c r="H393" s="357"/>
      <c r="I393" s="357"/>
      <c r="J393" s="357"/>
      <c r="K393" s="357"/>
      <c r="L393" s="249"/>
      <c r="M393" s="249"/>
      <c r="N393" s="249"/>
      <c r="O393" s="249"/>
      <c r="P393" s="451"/>
      <c r="Q393" s="451"/>
      <c r="R393" s="451"/>
      <c r="S393" s="451"/>
    </row>
    <row r="394" spans="8:19">
      <c r="H394" s="357"/>
      <c r="I394" s="357"/>
      <c r="J394" s="357"/>
      <c r="K394" s="357"/>
      <c r="L394" s="249"/>
      <c r="M394" s="249"/>
      <c r="N394" s="249"/>
      <c r="O394" s="249"/>
      <c r="P394" s="451"/>
      <c r="Q394" s="451"/>
      <c r="R394" s="451"/>
      <c r="S394" s="451"/>
    </row>
    <row r="395" spans="8:19">
      <c r="H395" s="357"/>
      <c r="I395" s="357"/>
      <c r="J395" s="357"/>
      <c r="K395" s="357"/>
      <c r="L395" s="249"/>
      <c r="M395" s="249"/>
      <c r="N395" s="249"/>
      <c r="O395" s="249"/>
      <c r="P395" s="451"/>
      <c r="Q395" s="451"/>
      <c r="R395" s="451"/>
      <c r="S395" s="451"/>
    </row>
    <row r="396" spans="8:19">
      <c r="H396" s="357"/>
      <c r="I396" s="357"/>
      <c r="J396" s="357"/>
      <c r="K396" s="357"/>
      <c r="L396" s="249"/>
      <c r="M396" s="249"/>
      <c r="N396" s="249"/>
      <c r="O396" s="249"/>
      <c r="P396" s="451"/>
      <c r="Q396" s="451"/>
      <c r="R396" s="451"/>
      <c r="S396" s="451"/>
    </row>
    <row r="397" spans="8:19">
      <c r="H397" s="357"/>
      <c r="I397" s="357"/>
      <c r="J397" s="357"/>
      <c r="K397" s="357"/>
      <c r="L397" s="249"/>
      <c r="M397" s="249"/>
      <c r="N397" s="249"/>
      <c r="O397" s="249"/>
      <c r="P397" s="451"/>
      <c r="Q397" s="451"/>
      <c r="R397" s="451"/>
      <c r="S397" s="451"/>
    </row>
    <row r="398" spans="8:19">
      <c r="H398" s="357"/>
      <c r="I398" s="357"/>
      <c r="J398" s="357"/>
      <c r="K398" s="357"/>
      <c r="L398" s="249"/>
      <c r="M398" s="249"/>
      <c r="N398" s="249"/>
      <c r="O398" s="249"/>
      <c r="P398" s="451"/>
      <c r="Q398" s="451"/>
      <c r="R398" s="451"/>
      <c r="S398" s="451"/>
    </row>
    <row r="399" spans="8:19">
      <c r="H399" s="357"/>
      <c r="I399" s="357"/>
      <c r="J399" s="357"/>
      <c r="K399" s="357"/>
      <c r="L399" s="249"/>
      <c r="M399" s="249"/>
      <c r="N399" s="249"/>
      <c r="O399" s="249"/>
      <c r="P399" s="451"/>
      <c r="Q399" s="451"/>
      <c r="R399" s="451"/>
      <c r="S399" s="451"/>
    </row>
    <row r="400" spans="8:19">
      <c r="H400" s="357"/>
      <c r="I400" s="357"/>
      <c r="J400" s="357"/>
      <c r="K400" s="357"/>
      <c r="L400" s="249"/>
      <c r="M400" s="249"/>
      <c r="N400" s="249"/>
      <c r="O400" s="249"/>
      <c r="P400" s="451"/>
      <c r="Q400" s="451"/>
      <c r="R400" s="451"/>
      <c r="S400" s="451"/>
    </row>
    <row r="401" spans="8:19">
      <c r="H401" s="357"/>
      <c r="I401" s="357"/>
      <c r="J401" s="357"/>
      <c r="K401" s="357"/>
      <c r="L401" s="249"/>
      <c r="M401" s="249"/>
      <c r="N401" s="249"/>
      <c r="O401" s="249"/>
      <c r="P401" s="451"/>
      <c r="Q401" s="451"/>
      <c r="R401" s="451"/>
      <c r="S401" s="451"/>
    </row>
    <row r="402" spans="8:19">
      <c r="H402" s="357"/>
      <c r="I402" s="357"/>
      <c r="J402" s="357"/>
      <c r="K402" s="357"/>
      <c r="L402" s="249"/>
      <c r="M402" s="249"/>
      <c r="N402" s="249"/>
      <c r="O402" s="249"/>
      <c r="P402" s="451"/>
      <c r="Q402" s="451"/>
      <c r="R402" s="451"/>
      <c r="S402" s="451"/>
    </row>
    <row r="403" spans="8:19">
      <c r="H403" s="357"/>
      <c r="I403" s="357"/>
      <c r="J403" s="357"/>
      <c r="K403" s="357"/>
      <c r="L403" s="249"/>
      <c r="M403" s="249"/>
      <c r="N403" s="249"/>
      <c r="O403" s="249"/>
      <c r="P403" s="451"/>
      <c r="Q403" s="451"/>
      <c r="R403" s="451"/>
      <c r="S403" s="451"/>
    </row>
    <row r="404" spans="8:19">
      <c r="H404" s="357"/>
      <c r="I404" s="357"/>
      <c r="J404" s="357"/>
      <c r="K404" s="357"/>
      <c r="L404" s="249"/>
      <c r="M404" s="249"/>
      <c r="N404" s="249"/>
      <c r="O404" s="249"/>
      <c r="P404" s="451"/>
      <c r="Q404" s="451"/>
      <c r="R404" s="451"/>
      <c r="S404" s="451"/>
    </row>
    <row r="405" spans="8:19">
      <c r="H405" s="357"/>
      <c r="I405" s="357"/>
      <c r="J405" s="357"/>
      <c r="K405" s="357"/>
      <c r="L405" s="249"/>
      <c r="M405" s="249"/>
      <c r="N405" s="249"/>
      <c r="O405" s="249"/>
      <c r="P405" s="451"/>
      <c r="Q405" s="451"/>
      <c r="R405" s="451"/>
      <c r="S405" s="451"/>
    </row>
    <row r="406" spans="8:19">
      <c r="H406" s="357"/>
      <c r="I406" s="357"/>
      <c r="J406" s="357"/>
      <c r="K406" s="357"/>
      <c r="L406" s="249"/>
      <c r="M406" s="249"/>
      <c r="N406" s="249"/>
      <c r="O406" s="249"/>
      <c r="P406" s="451"/>
      <c r="Q406" s="451"/>
      <c r="R406" s="451"/>
      <c r="S406" s="451"/>
    </row>
    <row r="407" spans="8:19">
      <c r="H407" s="357"/>
      <c r="I407" s="357"/>
      <c r="J407" s="357"/>
      <c r="K407" s="357"/>
      <c r="L407" s="249"/>
      <c r="M407" s="249"/>
      <c r="N407" s="249"/>
      <c r="O407" s="249"/>
      <c r="P407" s="451"/>
      <c r="Q407" s="451"/>
      <c r="R407" s="451"/>
      <c r="S407" s="451"/>
    </row>
    <row r="408" spans="8:19">
      <c r="H408" s="357"/>
      <c r="I408" s="357"/>
      <c r="J408" s="357"/>
      <c r="K408" s="357"/>
      <c r="L408" s="249"/>
      <c r="M408" s="249"/>
      <c r="N408" s="249"/>
      <c r="O408" s="249"/>
      <c r="P408" s="451"/>
      <c r="Q408" s="451"/>
      <c r="R408" s="451"/>
      <c r="S408" s="451"/>
    </row>
    <row r="409" spans="8:19">
      <c r="H409" s="357"/>
      <c r="I409" s="357"/>
      <c r="J409" s="357"/>
      <c r="K409" s="357"/>
      <c r="L409" s="249"/>
      <c r="M409" s="249"/>
      <c r="N409" s="249"/>
      <c r="O409" s="249"/>
      <c r="P409" s="451"/>
      <c r="Q409" s="451"/>
      <c r="R409" s="451"/>
      <c r="S409" s="451"/>
    </row>
    <row r="410" spans="8:19">
      <c r="H410" s="357"/>
      <c r="I410" s="357"/>
      <c r="J410" s="357"/>
      <c r="K410" s="357"/>
      <c r="L410" s="249"/>
      <c r="M410" s="249"/>
      <c r="N410" s="249"/>
      <c r="O410" s="249"/>
      <c r="P410" s="451"/>
      <c r="Q410" s="451"/>
      <c r="R410" s="451"/>
      <c r="S410" s="451"/>
    </row>
    <row r="411" spans="8:19">
      <c r="H411" s="357"/>
      <c r="I411" s="357"/>
      <c r="J411" s="357"/>
      <c r="K411" s="357"/>
      <c r="L411" s="249"/>
      <c r="M411" s="249"/>
      <c r="N411" s="249"/>
      <c r="O411" s="249"/>
      <c r="P411" s="451"/>
      <c r="Q411" s="451"/>
      <c r="R411" s="451"/>
      <c r="S411" s="451"/>
    </row>
    <row r="412" spans="8:19">
      <c r="H412" s="357"/>
      <c r="I412" s="357"/>
      <c r="J412" s="357"/>
      <c r="K412" s="357"/>
      <c r="L412" s="249"/>
      <c r="M412" s="249"/>
      <c r="N412" s="249"/>
      <c r="O412" s="249"/>
      <c r="P412" s="451"/>
      <c r="Q412" s="451"/>
      <c r="R412" s="451"/>
      <c r="S412" s="451"/>
    </row>
    <row r="413" spans="8:19">
      <c r="H413" s="357"/>
      <c r="I413" s="357"/>
      <c r="J413" s="357"/>
      <c r="K413" s="357"/>
      <c r="L413" s="249"/>
      <c r="M413" s="249"/>
      <c r="N413" s="249"/>
      <c r="O413" s="249"/>
      <c r="P413" s="451"/>
      <c r="Q413" s="451"/>
      <c r="R413" s="451"/>
      <c r="S413" s="451"/>
    </row>
    <row r="414" spans="8:19">
      <c r="H414" s="357"/>
      <c r="I414" s="357"/>
      <c r="J414" s="357"/>
      <c r="K414" s="357"/>
      <c r="L414" s="249"/>
      <c r="M414" s="249"/>
      <c r="N414" s="249"/>
      <c r="O414" s="249"/>
      <c r="P414" s="451"/>
      <c r="Q414" s="451"/>
      <c r="R414" s="451"/>
      <c r="S414" s="451"/>
    </row>
    <row r="415" spans="8:19">
      <c r="H415" s="357"/>
      <c r="I415" s="357"/>
      <c r="J415" s="357"/>
      <c r="K415" s="357"/>
      <c r="L415" s="249"/>
      <c r="M415" s="249"/>
      <c r="N415" s="249"/>
      <c r="O415" s="249"/>
      <c r="P415" s="451"/>
      <c r="Q415" s="451"/>
      <c r="R415" s="451"/>
      <c r="S415" s="451"/>
    </row>
    <row r="416" spans="8:19">
      <c r="H416" s="357"/>
      <c r="I416" s="357"/>
      <c r="J416" s="357"/>
      <c r="K416" s="357"/>
      <c r="L416" s="249"/>
      <c r="M416" s="249"/>
      <c r="N416" s="249"/>
      <c r="O416" s="249"/>
      <c r="P416" s="451"/>
      <c r="Q416" s="451"/>
      <c r="R416" s="451"/>
      <c r="S416" s="451"/>
    </row>
    <row r="417" spans="8:19">
      <c r="H417" s="357"/>
      <c r="I417" s="357"/>
      <c r="J417" s="357"/>
      <c r="K417" s="357"/>
      <c r="L417" s="249"/>
      <c r="M417" s="249"/>
      <c r="N417" s="249"/>
      <c r="O417" s="249"/>
      <c r="P417" s="451"/>
      <c r="Q417" s="451"/>
      <c r="R417" s="451"/>
      <c r="S417" s="451"/>
    </row>
    <row r="418" spans="8:19">
      <c r="H418" s="357"/>
      <c r="I418" s="357"/>
      <c r="J418" s="357"/>
      <c r="K418" s="357"/>
      <c r="L418" s="249"/>
      <c r="M418" s="249"/>
      <c r="N418" s="249"/>
      <c r="O418" s="249"/>
      <c r="P418" s="451"/>
      <c r="Q418" s="451"/>
      <c r="R418" s="451"/>
      <c r="S418" s="451"/>
    </row>
    <row r="419" spans="8:19">
      <c r="H419" s="357"/>
      <c r="I419" s="357"/>
      <c r="J419" s="357"/>
      <c r="K419" s="357"/>
      <c r="L419" s="249"/>
      <c r="M419" s="249"/>
      <c r="N419" s="249"/>
      <c r="O419" s="249"/>
      <c r="P419" s="451"/>
      <c r="Q419" s="451"/>
      <c r="R419" s="451"/>
      <c r="S419" s="451"/>
    </row>
    <row r="420" spans="8:19">
      <c r="H420" s="357"/>
      <c r="I420" s="357"/>
      <c r="J420" s="357"/>
      <c r="K420" s="357"/>
      <c r="L420" s="249"/>
      <c r="M420" s="249"/>
      <c r="N420" s="249"/>
      <c r="O420" s="249"/>
      <c r="P420" s="451"/>
      <c r="Q420" s="451"/>
      <c r="R420" s="451"/>
      <c r="S420" s="451"/>
    </row>
    <row r="421" spans="8:19">
      <c r="H421" s="357"/>
      <c r="I421" s="357"/>
      <c r="J421" s="357"/>
      <c r="K421" s="357"/>
      <c r="L421" s="249"/>
      <c r="M421" s="249"/>
      <c r="N421" s="249"/>
      <c r="O421" s="249"/>
      <c r="P421" s="451"/>
      <c r="Q421" s="451"/>
      <c r="R421" s="451"/>
      <c r="S421" s="451"/>
    </row>
    <row r="422" spans="8:19">
      <c r="H422" s="357"/>
      <c r="I422" s="357"/>
      <c r="J422" s="357"/>
      <c r="K422" s="357"/>
      <c r="L422" s="249"/>
      <c r="M422" s="249"/>
      <c r="N422" s="249"/>
      <c r="O422" s="249"/>
      <c r="P422" s="451"/>
      <c r="Q422" s="451"/>
      <c r="R422" s="451"/>
      <c r="S422" s="451"/>
    </row>
    <row r="423" spans="8:19">
      <c r="H423" s="357"/>
      <c r="I423" s="357"/>
      <c r="J423" s="357"/>
      <c r="K423" s="357"/>
      <c r="L423" s="249"/>
      <c r="M423" s="249"/>
      <c r="N423" s="249"/>
      <c r="O423" s="249"/>
      <c r="P423" s="451"/>
      <c r="Q423" s="451"/>
      <c r="R423" s="451"/>
      <c r="S423" s="451"/>
    </row>
    <row r="424" spans="8:19">
      <c r="H424" s="357"/>
      <c r="I424" s="357"/>
      <c r="J424" s="357"/>
      <c r="K424" s="357"/>
      <c r="L424" s="249"/>
      <c r="M424" s="249"/>
      <c r="N424" s="249"/>
      <c r="O424" s="249"/>
      <c r="P424" s="451"/>
      <c r="Q424" s="451"/>
      <c r="R424" s="451"/>
      <c r="S424" s="451"/>
    </row>
    <row r="425" spans="8:19">
      <c r="H425" s="357"/>
      <c r="I425" s="357"/>
      <c r="J425" s="357"/>
      <c r="K425" s="357"/>
      <c r="L425" s="249"/>
      <c r="M425" s="249"/>
      <c r="N425" s="249"/>
      <c r="O425" s="249"/>
      <c r="P425" s="451"/>
      <c r="Q425" s="451"/>
      <c r="R425" s="451"/>
      <c r="S425" s="451"/>
    </row>
    <row r="426" spans="8:19">
      <c r="H426" s="357"/>
      <c r="I426" s="357"/>
      <c r="J426" s="357"/>
      <c r="K426" s="357"/>
      <c r="L426" s="249"/>
      <c r="M426" s="249"/>
      <c r="N426" s="249"/>
      <c r="O426" s="249"/>
      <c r="P426" s="451"/>
      <c r="Q426" s="451"/>
      <c r="R426" s="451"/>
      <c r="S426" s="451"/>
    </row>
    <row r="427" spans="8:19">
      <c r="H427" s="357"/>
      <c r="I427" s="357"/>
      <c r="J427" s="357"/>
      <c r="K427" s="357"/>
      <c r="L427" s="249"/>
      <c r="M427" s="249"/>
      <c r="N427" s="249"/>
      <c r="O427" s="249"/>
      <c r="P427" s="451"/>
      <c r="Q427" s="451"/>
      <c r="R427" s="451"/>
      <c r="S427" s="451"/>
    </row>
    <row r="428" spans="8:19">
      <c r="H428" s="357"/>
      <c r="I428" s="357"/>
      <c r="J428" s="357"/>
      <c r="K428" s="357"/>
      <c r="L428" s="249"/>
      <c r="M428" s="249"/>
      <c r="N428" s="249"/>
      <c r="O428" s="249"/>
      <c r="P428" s="451"/>
      <c r="Q428" s="451"/>
      <c r="R428" s="451"/>
      <c r="S428" s="451"/>
    </row>
    <row r="429" spans="8:19">
      <c r="H429" s="357"/>
      <c r="I429" s="357"/>
      <c r="J429" s="357"/>
      <c r="K429" s="357"/>
      <c r="L429" s="249"/>
      <c r="M429" s="249"/>
      <c r="N429" s="249"/>
      <c r="O429" s="249"/>
      <c r="P429" s="451"/>
      <c r="Q429" s="451"/>
      <c r="R429" s="451"/>
      <c r="S429" s="451"/>
    </row>
    <row r="430" spans="8:19">
      <c r="H430" s="357"/>
      <c r="I430" s="357"/>
      <c r="J430" s="357"/>
      <c r="K430" s="357"/>
      <c r="L430" s="249"/>
      <c r="M430" s="249"/>
      <c r="N430" s="249"/>
      <c r="O430" s="249"/>
      <c r="P430" s="451"/>
      <c r="Q430" s="451"/>
      <c r="R430" s="451"/>
      <c r="S430" s="451"/>
    </row>
    <row r="431" spans="8:19">
      <c r="H431" s="357"/>
      <c r="I431" s="357"/>
      <c r="J431" s="357"/>
      <c r="K431" s="357"/>
      <c r="L431" s="249"/>
      <c r="M431" s="249"/>
      <c r="N431" s="249"/>
      <c r="O431" s="249"/>
      <c r="P431" s="451"/>
      <c r="Q431" s="451"/>
      <c r="R431" s="451"/>
      <c r="S431" s="451"/>
    </row>
    <row r="432" spans="8:19">
      <c r="H432" s="357"/>
      <c r="I432" s="357"/>
      <c r="J432" s="357"/>
      <c r="K432" s="357"/>
      <c r="L432" s="249"/>
      <c r="M432" s="249"/>
      <c r="N432" s="249"/>
      <c r="O432" s="249"/>
      <c r="P432" s="451"/>
      <c r="Q432" s="451"/>
      <c r="R432" s="451"/>
      <c r="S432" s="451"/>
    </row>
    <row r="433" spans="8:19">
      <c r="H433" s="357"/>
      <c r="I433" s="357"/>
      <c r="J433" s="357"/>
      <c r="K433" s="357"/>
      <c r="L433" s="249"/>
      <c r="M433" s="249"/>
      <c r="N433" s="249"/>
      <c r="O433" s="249"/>
      <c r="P433" s="451"/>
      <c r="Q433" s="451"/>
      <c r="R433" s="451"/>
      <c r="S433" s="451"/>
    </row>
    <row r="434" spans="8:19">
      <c r="H434" s="357"/>
      <c r="I434" s="357"/>
      <c r="J434" s="357"/>
      <c r="K434" s="357"/>
      <c r="L434" s="249"/>
      <c r="M434" s="249"/>
      <c r="N434" s="249"/>
      <c r="O434" s="249"/>
      <c r="P434" s="451"/>
      <c r="Q434" s="451"/>
      <c r="R434" s="451"/>
      <c r="S434" s="451"/>
    </row>
    <row r="435" spans="8:19">
      <c r="H435" s="357"/>
      <c r="I435" s="357"/>
      <c r="J435" s="357"/>
      <c r="K435" s="357"/>
      <c r="L435" s="249"/>
      <c r="M435" s="249"/>
      <c r="N435" s="249"/>
      <c r="O435" s="249"/>
      <c r="P435" s="451"/>
      <c r="Q435" s="451"/>
      <c r="R435" s="451"/>
      <c r="S435" s="451"/>
    </row>
    <row r="436" spans="8:19">
      <c r="H436" s="357"/>
      <c r="I436" s="357"/>
      <c r="J436" s="357"/>
      <c r="K436" s="357"/>
      <c r="L436" s="249"/>
      <c r="M436" s="249"/>
      <c r="N436" s="249"/>
      <c r="O436" s="249"/>
      <c r="P436" s="451"/>
      <c r="Q436" s="451"/>
      <c r="R436" s="451"/>
      <c r="S436" s="451"/>
    </row>
    <row r="437" spans="8:19">
      <c r="H437" s="357"/>
      <c r="I437" s="357"/>
      <c r="J437" s="357"/>
      <c r="K437" s="357"/>
      <c r="L437" s="249"/>
      <c r="M437" s="249"/>
      <c r="N437" s="249"/>
      <c r="O437" s="249"/>
      <c r="P437" s="451"/>
      <c r="Q437" s="451"/>
      <c r="R437" s="451"/>
      <c r="S437" s="451"/>
    </row>
    <row r="438" spans="8:19">
      <c r="H438" s="357"/>
      <c r="I438" s="357"/>
      <c r="J438" s="357"/>
      <c r="K438" s="357"/>
      <c r="L438" s="249"/>
      <c r="M438" s="249"/>
      <c r="N438" s="249"/>
      <c r="O438" s="249"/>
      <c r="P438" s="451"/>
      <c r="Q438" s="451"/>
      <c r="R438" s="451"/>
      <c r="S438" s="451"/>
    </row>
    <row r="439" spans="8:19">
      <c r="H439" s="357"/>
      <c r="I439" s="357"/>
      <c r="J439" s="357"/>
      <c r="K439" s="357"/>
      <c r="L439" s="249"/>
      <c r="M439" s="249"/>
      <c r="N439" s="249"/>
      <c r="O439" s="249"/>
      <c r="P439" s="451"/>
      <c r="Q439" s="451"/>
      <c r="R439" s="451"/>
      <c r="S439" s="451"/>
    </row>
    <row r="440" spans="8:19">
      <c r="H440" s="357"/>
      <c r="I440" s="357"/>
      <c r="J440" s="357"/>
      <c r="K440" s="357"/>
      <c r="L440" s="249"/>
      <c r="M440" s="249"/>
      <c r="N440" s="249"/>
      <c r="O440" s="249"/>
      <c r="P440" s="451"/>
      <c r="Q440" s="451"/>
      <c r="R440" s="451"/>
      <c r="S440" s="451"/>
    </row>
    <row r="441" spans="8:19">
      <c r="H441" s="357"/>
      <c r="I441" s="357"/>
      <c r="J441" s="357"/>
      <c r="K441" s="357"/>
      <c r="L441" s="249"/>
      <c r="M441" s="249"/>
      <c r="N441" s="249"/>
      <c r="O441" s="249"/>
      <c r="P441" s="451"/>
      <c r="Q441" s="451"/>
      <c r="R441" s="451"/>
      <c r="S441" s="451"/>
    </row>
    <row r="442" spans="8:19">
      <c r="H442" s="357"/>
      <c r="I442" s="357"/>
      <c r="J442" s="357"/>
      <c r="K442" s="357"/>
      <c r="L442" s="249"/>
      <c r="M442" s="249"/>
      <c r="N442" s="249"/>
      <c r="O442" s="249"/>
      <c r="P442" s="451"/>
      <c r="Q442" s="451"/>
      <c r="R442" s="451"/>
      <c r="S442" s="451"/>
    </row>
    <row r="443" spans="8:19">
      <c r="H443" s="357"/>
      <c r="I443" s="357"/>
      <c r="J443" s="357"/>
      <c r="K443" s="357"/>
      <c r="L443" s="249"/>
      <c r="M443" s="249"/>
      <c r="N443" s="249"/>
      <c r="O443" s="249"/>
      <c r="P443" s="451"/>
      <c r="Q443" s="451"/>
      <c r="R443" s="451"/>
      <c r="S443" s="451"/>
    </row>
    <row r="444" spans="8:19">
      <c r="H444" s="357"/>
      <c r="I444" s="357"/>
      <c r="J444" s="357"/>
      <c r="K444" s="357"/>
      <c r="L444" s="249"/>
      <c r="M444" s="249"/>
      <c r="N444" s="249"/>
      <c r="O444" s="249"/>
      <c r="P444" s="451"/>
      <c r="Q444" s="451"/>
      <c r="R444" s="451"/>
      <c r="S444" s="451"/>
    </row>
    <row r="445" spans="8:19">
      <c r="H445" s="357"/>
      <c r="I445" s="357"/>
      <c r="J445" s="357"/>
      <c r="K445" s="357"/>
      <c r="L445" s="249"/>
      <c r="M445" s="249"/>
      <c r="N445" s="249"/>
      <c r="O445" s="249"/>
      <c r="P445" s="451"/>
      <c r="Q445" s="451"/>
      <c r="R445" s="451"/>
      <c r="S445" s="451"/>
    </row>
    <row r="446" spans="8:19">
      <c r="H446" s="357"/>
      <c r="I446" s="357"/>
      <c r="J446" s="357"/>
      <c r="K446" s="357"/>
      <c r="L446" s="249"/>
      <c r="M446" s="249"/>
      <c r="N446" s="249"/>
      <c r="O446" s="249"/>
      <c r="P446" s="451"/>
      <c r="Q446" s="451"/>
      <c r="R446" s="451"/>
      <c r="S446" s="451"/>
    </row>
    <row r="447" spans="8:19">
      <c r="H447" s="357"/>
      <c r="I447" s="357"/>
      <c r="J447" s="357"/>
      <c r="K447" s="357"/>
      <c r="L447" s="249"/>
      <c r="M447" s="249"/>
      <c r="N447" s="249"/>
      <c r="O447" s="249"/>
      <c r="P447" s="451"/>
      <c r="Q447" s="451"/>
      <c r="R447" s="451"/>
      <c r="S447" s="451"/>
    </row>
    <row r="448" spans="8:19">
      <c r="H448" s="357"/>
      <c r="I448" s="357"/>
      <c r="J448" s="357"/>
      <c r="K448" s="357"/>
      <c r="L448" s="249"/>
      <c r="M448" s="249"/>
      <c r="N448" s="249"/>
      <c r="O448" s="249"/>
      <c r="P448" s="451"/>
      <c r="Q448" s="451"/>
      <c r="R448" s="451"/>
      <c r="S448" s="451"/>
    </row>
    <row r="449" spans="8:19">
      <c r="H449" s="357"/>
      <c r="I449" s="357"/>
      <c r="J449" s="357"/>
      <c r="K449" s="357"/>
      <c r="L449" s="249"/>
      <c r="M449" s="249"/>
      <c r="N449" s="249"/>
      <c r="O449" s="249"/>
      <c r="P449" s="451"/>
      <c r="Q449" s="451"/>
      <c r="R449" s="451"/>
      <c r="S449" s="451"/>
    </row>
    <row r="450" spans="8:19">
      <c r="H450" s="357"/>
      <c r="I450" s="357"/>
      <c r="J450" s="357"/>
      <c r="K450" s="357"/>
      <c r="L450" s="249"/>
      <c r="M450" s="249"/>
      <c r="N450" s="249"/>
      <c r="O450" s="249"/>
      <c r="P450" s="451"/>
      <c r="Q450" s="451"/>
      <c r="R450" s="451"/>
      <c r="S450" s="451"/>
    </row>
    <row r="451" spans="8:19">
      <c r="H451" s="357"/>
      <c r="I451" s="357"/>
      <c r="J451" s="357"/>
      <c r="K451" s="357"/>
      <c r="L451" s="249"/>
      <c r="M451" s="249"/>
      <c r="N451" s="249"/>
      <c r="O451" s="249"/>
      <c r="P451" s="451"/>
      <c r="Q451" s="451"/>
      <c r="R451" s="451"/>
      <c r="S451" s="451"/>
    </row>
    <row r="452" spans="8:19">
      <c r="H452" s="357"/>
      <c r="I452" s="357"/>
      <c r="J452" s="357"/>
      <c r="K452" s="357"/>
      <c r="L452" s="249"/>
      <c r="M452" s="249"/>
      <c r="N452" s="249"/>
      <c r="O452" s="249"/>
      <c r="P452" s="451"/>
      <c r="Q452" s="451"/>
      <c r="R452" s="451"/>
      <c r="S452" s="451"/>
    </row>
    <row r="453" spans="8:19">
      <c r="H453" s="357"/>
      <c r="I453" s="357"/>
      <c r="J453" s="357"/>
      <c r="K453" s="357"/>
      <c r="L453" s="249"/>
      <c r="M453" s="249"/>
      <c r="N453" s="249"/>
      <c r="O453" s="249"/>
      <c r="P453" s="451"/>
      <c r="Q453" s="451"/>
      <c r="R453" s="451"/>
      <c r="S453" s="451"/>
    </row>
    <row r="454" spans="8:19">
      <c r="H454" s="357"/>
      <c r="I454" s="357"/>
      <c r="J454" s="357"/>
      <c r="K454" s="357"/>
      <c r="L454" s="249"/>
      <c r="M454" s="249"/>
      <c r="N454" s="249"/>
      <c r="O454" s="249"/>
      <c r="P454" s="451"/>
      <c r="Q454" s="451"/>
      <c r="R454" s="451"/>
      <c r="S454" s="451"/>
    </row>
    <row r="455" spans="8:19">
      <c r="H455" s="357"/>
      <c r="I455" s="357"/>
      <c r="J455" s="357"/>
      <c r="K455" s="357"/>
      <c r="L455" s="249"/>
      <c r="M455" s="249"/>
      <c r="N455" s="249"/>
      <c r="O455" s="249"/>
      <c r="P455" s="451"/>
      <c r="Q455" s="451"/>
      <c r="R455" s="451"/>
      <c r="S455" s="451"/>
    </row>
    <row r="456" spans="8:19">
      <c r="H456" s="357"/>
      <c r="I456" s="357"/>
      <c r="J456" s="357"/>
      <c r="K456" s="357"/>
      <c r="L456" s="249"/>
      <c r="M456" s="249"/>
      <c r="N456" s="249"/>
      <c r="O456" s="249"/>
      <c r="P456" s="451"/>
      <c r="Q456" s="451"/>
      <c r="R456" s="451"/>
      <c r="S456" s="451"/>
    </row>
    <row r="457" spans="8:19">
      <c r="H457" s="357"/>
      <c r="I457" s="357"/>
      <c r="J457" s="357"/>
      <c r="K457" s="357"/>
      <c r="L457" s="249"/>
      <c r="M457" s="249"/>
      <c r="N457" s="249"/>
      <c r="O457" s="249"/>
      <c r="P457" s="451"/>
      <c r="Q457" s="451"/>
      <c r="R457" s="451"/>
      <c r="S457" s="451"/>
    </row>
    <row r="458" spans="8:19">
      <c r="H458" s="357"/>
      <c r="I458" s="357"/>
      <c r="J458" s="357"/>
      <c r="K458" s="357"/>
      <c r="L458" s="249"/>
      <c r="M458" s="249"/>
      <c r="N458" s="249"/>
      <c r="O458" s="249"/>
      <c r="P458" s="451"/>
      <c r="Q458" s="451"/>
      <c r="R458" s="451"/>
      <c r="S458" s="451"/>
    </row>
    <row r="459" spans="8:19">
      <c r="H459" s="357"/>
      <c r="I459" s="357"/>
      <c r="J459" s="357"/>
      <c r="K459" s="357"/>
      <c r="L459" s="249"/>
      <c r="M459" s="249"/>
      <c r="N459" s="249"/>
      <c r="O459" s="249"/>
      <c r="P459" s="451"/>
      <c r="Q459" s="451"/>
      <c r="R459" s="451"/>
      <c r="S459" s="451"/>
    </row>
    <row r="460" spans="8:19">
      <c r="H460" s="357"/>
      <c r="I460" s="357"/>
      <c r="J460" s="357"/>
      <c r="K460" s="357"/>
      <c r="L460" s="249"/>
      <c r="M460" s="249"/>
      <c r="N460" s="249"/>
      <c r="O460" s="249"/>
      <c r="P460" s="451"/>
      <c r="Q460" s="451"/>
      <c r="R460" s="451"/>
      <c r="S460" s="451"/>
    </row>
    <row r="461" spans="8:19">
      <c r="H461" s="357"/>
      <c r="I461" s="357"/>
      <c r="J461" s="357"/>
      <c r="K461" s="357"/>
      <c r="L461" s="249"/>
      <c r="M461" s="249"/>
      <c r="N461" s="249"/>
      <c r="O461" s="249"/>
      <c r="P461" s="451"/>
      <c r="Q461" s="451"/>
      <c r="R461" s="451"/>
      <c r="S461" s="451"/>
    </row>
    <row r="462" spans="8:19">
      <c r="H462" s="357"/>
      <c r="I462" s="357"/>
      <c r="J462" s="357"/>
      <c r="K462" s="357"/>
      <c r="L462" s="249"/>
      <c r="M462" s="249"/>
      <c r="N462" s="249"/>
      <c r="O462" s="249"/>
      <c r="P462" s="451"/>
      <c r="Q462" s="451"/>
      <c r="R462" s="451"/>
      <c r="S462" s="451"/>
    </row>
    <row r="463" spans="8:19">
      <c r="H463" s="357"/>
      <c r="I463" s="357"/>
      <c r="J463" s="357"/>
      <c r="K463" s="357"/>
      <c r="L463" s="249"/>
      <c r="M463" s="249"/>
      <c r="N463" s="249"/>
      <c r="O463" s="249"/>
      <c r="P463" s="451"/>
      <c r="Q463" s="451"/>
      <c r="R463" s="451"/>
      <c r="S463" s="451"/>
    </row>
    <row r="464" spans="8:19">
      <c r="H464" s="357"/>
      <c r="I464" s="357"/>
      <c r="J464" s="357"/>
      <c r="K464" s="357"/>
      <c r="L464" s="249"/>
      <c r="M464" s="249"/>
      <c r="N464" s="249"/>
      <c r="O464" s="249"/>
      <c r="P464" s="451"/>
      <c r="Q464" s="451"/>
      <c r="R464" s="451"/>
      <c r="S464" s="451"/>
    </row>
    <row r="465" spans="8:19">
      <c r="H465" s="357"/>
      <c r="I465" s="357"/>
      <c r="J465" s="357"/>
      <c r="K465" s="357"/>
      <c r="L465" s="249"/>
      <c r="M465" s="249"/>
      <c r="N465" s="249"/>
      <c r="O465" s="249"/>
      <c r="P465" s="451"/>
      <c r="Q465" s="451"/>
      <c r="R465" s="451"/>
      <c r="S465" s="451"/>
    </row>
    <row r="466" spans="8:19">
      <c r="H466" s="357"/>
      <c r="I466" s="357"/>
      <c r="J466" s="357"/>
      <c r="K466" s="357"/>
      <c r="L466" s="249"/>
      <c r="M466" s="249"/>
      <c r="N466" s="249"/>
      <c r="O466" s="249"/>
      <c r="P466" s="451"/>
      <c r="Q466" s="451"/>
      <c r="R466" s="451"/>
      <c r="S466" s="451"/>
    </row>
    <row r="467" spans="8:19">
      <c r="H467" s="357"/>
      <c r="I467" s="357"/>
      <c r="J467" s="357"/>
      <c r="K467" s="357"/>
      <c r="L467" s="249"/>
      <c r="M467" s="249"/>
      <c r="N467" s="249"/>
      <c r="O467" s="249"/>
      <c r="P467" s="451"/>
      <c r="Q467" s="451"/>
      <c r="R467" s="451"/>
      <c r="S467" s="451"/>
    </row>
    <row r="468" spans="8:19">
      <c r="H468" s="357"/>
      <c r="I468" s="357"/>
      <c r="J468" s="357"/>
      <c r="K468" s="357"/>
      <c r="L468" s="249"/>
      <c r="M468" s="249"/>
      <c r="N468" s="249"/>
      <c r="O468" s="249"/>
      <c r="P468" s="451"/>
      <c r="Q468" s="451"/>
      <c r="R468" s="451"/>
      <c r="S468" s="451"/>
    </row>
    <row r="469" spans="8:19">
      <c r="H469" s="357"/>
      <c r="I469" s="357"/>
      <c r="J469" s="357"/>
      <c r="K469" s="357"/>
      <c r="L469" s="249"/>
      <c r="M469" s="249"/>
      <c r="N469" s="249"/>
      <c r="O469" s="249"/>
      <c r="P469" s="451"/>
      <c r="Q469" s="451"/>
      <c r="R469" s="451"/>
      <c r="S469" s="451"/>
    </row>
    <row r="470" spans="8:19">
      <c r="H470" s="357"/>
      <c r="I470" s="357"/>
      <c r="J470" s="357"/>
      <c r="K470" s="357"/>
      <c r="L470" s="249"/>
      <c r="M470" s="249"/>
      <c r="N470" s="249"/>
      <c r="O470" s="249"/>
      <c r="P470" s="451"/>
      <c r="Q470" s="451"/>
      <c r="R470" s="451"/>
      <c r="S470" s="451"/>
    </row>
    <row r="471" spans="8:19">
      <c r="H471" s="357"/>
      <c r="I471" s="357"/>
      <c r="J471" s="357"/>
      <c r="K471" s="357"/>
      <c r="L471" s="249"/>
      <c r="M471" s="249"/>
      <c r="N471" s="249"/>
      <c r="O471" s="249"/>
      <c r="P471" s="451"/>
      <c r="Q471" s="451"/>
      <c r="R471" s="451"/>
      <c r="S471" s="451"/>
    </row>
    <row r="472" spans="8:19">
      <c r="H472" s="357"/>
      <c r="I472" s="357"/>
      <c r="J472" s="357"/>
      <c r="K472" s="357"/>
      <c r="L472" s="249"/>
      <c r="M472" s="249"/>
      <c r="N472" s="249"/>
      <c r="O472" s="249"/>
      <c r="P472" s="451"/>
      <c r="Q472" s="451"/>
      <c r="R472" s="451"/>
      <c r="S472" s="451"/>
    </row>
    <row r="473" spans="8:19">
      <c r="H473" s="357"/>
      <c r="I473" s="357"/>
      <c r="J473" s="357"/>
      <c r="K473" s="357"/>
      <c r="L473" s="249"/>
      <c r="M473" s="249"/>
      <c r="N473" s="249"/>
      <c r="O473" s="249"/>
      <c r="P473" s="451"/>
      <c r="Q473" s="451"/>
      <c r="R473" s="451"/>
      <c r="S473" s="451"/>
    </row>
    <row r="474" spans="8:19">
      <c r="H474" s="357"/>
      <c r="I474" s="357"/>
      <c r="J474" s="357"/>
      <c r="K474" s="357"/>
      <c r="L474" s="249"/>
      <c r="M474" s="249"/>
      <c r="N474" s="249"/>
      <c r="O474" s="249"/>
      <c r="P474" s="451"/>
      <c r="Q474" s="451"/>
      <c r="R474" s="451"/>
      <c r="S474" s="451"/>
    </row>
    <row r="475" spans="8:19">
      <c r="H475" s="357"/>
      <c r="I475" s="357"/>
      <c r="J475" s="357"/>
      <c r="K475" s="357"/>
      <c r="L475" s="249"/>
      <c r="M475" s="249"/>
      <c r="N475" s="249"/>
      <c r="O475" s="249"/>
      <c r="P475" s="451"/>
      <c r="Q475" s="451"/>
      <c r="R475" s="451"/>
      <c r="S475" s="451"/>
    </row>
    <row r="476" spans="8:19">
      <c r="H476" s="357"/>
      <c r="I476" s="357"/>
      <c r="J476" s="357"/>
      <c r="K476" s="357"/>
      <c r="L476" s="249"/>
      <c r="M476" s="249"/>
      <c r="N476" s="249"/>
      <c r="O476" s="249"/>
      <c r="P476" s="451"/>
      <c r="Q476" s="451"/>
      <c r="R476" s="451"/>
      <c r="S476" s="451"/>
    </row>
    <row r="477" spans="8:19">
      <c r="H477" s="357"/>
      <c r="I477" s="357"/>
      <c r="J477" s="357"/>
      <c r="K477" s="357"/>
      <c r="L477" s="249"/>
      <c r="M477" s="249"/>
      <c r="N477" s="249"/>
      <c r="O477" s="249"/>
      <c r="P477" s="451"/>
      <c r="Q477" s="451"/>
      <c r="R477" s="451"/>
      <c r="S477" s="451"/>
    </row>
    <row r="478" spans="8:19">
      <c r="H478" s="357"/>
      <c r="I478" s="357"/>
      <c r="J478" s="357"/>
      <c r="K478" s="357"/>
      <c r="L478" s="249"/>
      <c r="M478" s="249"/>
      <c r="N478" s="249"/>
      <c r="O478" s="249"/>
      <c r="P478" s="451"/>
      <c r="Q478" s="451"/>
      <c r="R478" s="451"/>
      <c r="S478" s="451"/>
    </row>
    <row r="479" spans="8:19">
      <c r="H479" s="357"/>
      <c r="I479" s="357"/>
      <c r="J479" s="357"/>
      <c r="K479" s="357"/>
      <c r="L479" s="249"/>
      <c r="M479" s="249"/>
      <c r="N479" s="249"/>
      <c r="O479" s="249"/>
      <c r="P479" s="451"/>
      <c r="Q479" s="451"/>
      <c r="R479" s="451"/>
      <c r="S479" s="451"/>
    </row>
    <row r="480" spans="8:19">
      <c r="H480" s="357"/>
      <c r="I480" s="357"/>
      <c r="J480" s="357"/>
      <c r="K480" s="357"/>
      <c r="L480" s="249"/>
      <c r="M480" s="249"/>
      <c r="N480" s="249"/>
      <c r="O480" s="249"/>
      <c r="P480" s="451"/>
      <c r="Q480" s="451"/>
      <c r="R480" s="451"/>
      <c r="S480" s="451"/>
    </row>
    <row r="481" spans="8:19">
      <c r="H481" s="357"/>
      <c r="I481" s="357"/>
      <c r="J481" s="357"/>
      <c r="K481" s="357"/>
      <c r="L481" s="249"/>
      <c r="M481" s="249"/>
      <c r="N481" s="249"/>
      <c r="O481" s="249"/>
      <c r="P481" s="451"/>
      <c r="Q481" s="451"/>
      <c r="R481" s="451"/>
      <c r="S481" s="451"/>
    </row>
    <row r="482" spans="8:19">
      <c r="H482" s="357"/>
      <c r="I482" s="357"/>
      <c r="J482" s="357"/>
      <c r="K482" s="357"/>
      <c r="L482" s="249"/>
      <c r="M482" s="249"/>
      <c r="N482" s="249"/>
      <c r="O482" s="249"/>
      <c r="P482" s="451"/>
      <c r="Q482" s="451"/>
      <c r="R482" s="451"/>
      <c r="S482" s="451"/>
    </row>
    <row r="483" spans="8:19">
      <c r="H483" s="357"/>
      <c r="I483" s="357"/>
      <c r="J483" s="357"/>
      <c r="K483" s="357"/>
      <c r="L483" s="249"/>
      <c r="M483" s="249"/>
      <c r="N483" s="249"/>
      <c r="O483" s="249"/>
      <c r="P483" s="451"/>
      <c r="Q483" s="451"/>
      <c r="R483" s="451"/>
      <c r="S483" s="451"/>
    </row>
    <row r="484" spans="8:19">
      <c r="H484" s="357"/>
      <c r="I484" s="357"/>
      <c r="J484" s="357"/>
      <c r="K484" s="357"/>
      <c r="L484" s="249"/>
      <c r="M484" s="249"/>
      <c r="N484" s="249"/>
      <c r="O484" s="249"/>
      <c r="P484" s="451"/>
      <c r="Q484" s="451"/>
      <c r="R484" s="451"/>
      <c r="S484" s="451"/>
    </row>
    <row r="485" spans="8:19">
      <c r="H485" s="357"/>
      <c r="I485" s="357"/>
      <c r="J485" s="357"/>
      <c r="K485" s="357"/>
      <c r="L485" s="249"/>
      <c r="M485" s="249"/>
      <c r="N485" s="249"/>
      <c r="O485" s="249"/>
      <c r="P485" s="451"/>
      <c r="Q485" s="451"/>
      <c r="R485" s="451"/>
      <c r="S485" s="451"/>
    </row>
    <row r="486" spans="8:19">
      <c r="H486" s="357"/>
      <c r="I486" s="357"/>
      <c r="J486" s="357"/>
      <c r="K486" s="357"/>
      <c r="L486" s="249"/>
      <c r="M486" s="249"/>
      <c r="N486" s="249"/>
      <c r="O486" s="249"/>
      <c r="P486" s="451"/>
      <c r="Q486" s="451"/>
      <c r="R486" s="451"/>
      <c r="S486" s="451"/>
    </row>
    <row r="487" spans="8:19">
      <c r="H487" s="357"/>
      <c r="I487" s="357"/>
      <c r="J487" s="357"/>
      <c r="K487" s="357"/>
      <c r="L487" s="249"/>
      <c r="M487" s="249"/>
      <c r="N487" s="249"/>
      <c r="O487" s="249"/>
      <c r="P487" s="451"/>
      <c r="Q487" s="451"/>
      <c r="R487" s="451"/>
      <c r="S487" s="451"/>
    </row>
    <row r="488" spans="8:19">
      <c r="H488" s="357"/>
      <c r="I488" s="357"/>
      <c r="J488" s="357"/>
      <c r="K488" s="357"/>
      <c r="L488" s="249"/>
      <c r="M488" s="249"/>
      <c r="N488" s="249"/>
      <c r="O488" s="249"/>
      <c r="P488" s="451"/>
      <c r="Q488" s="451"/>
      <c r="R488" s="451"/>
      <c r="S488" s="451"/>
    </row>
    <row r="489" spans="8:19">
      <c r="H489" s="357"/>
      <c r="I489" s="357"/>
      <c r="J489" s="357"/>
      <c r="K489" s="357"/>
      <c r="L489" s="249"/>
      <c r="M489" s="249"/>
      <c r="N489" s="249"/>
      <c r="O489" s="249"/>
      <c r="P489" s="451"/>
      <c r="Q489" s="451"/>
      <c r="R489" s="451"/>
      <c r="S489" s="451"/>
    </row>
    <row r="490" spans="8:19">
      <c r="H490" s="357"/>
      <c r="I490" s="357"/>
      <c r="J490" s="357"/>
      <c r="K490" s="357"/>
      <c r="L490" s="249"/>
      <c r="M490" s="249"/>
      <c r="N490" s="249"/>
      <c r="O490" s="249"/>
      <c r="P490" s="451"/>
      <c r="Q490" s="451"/>
      <c r="R490" s="451"/>
      <c r="S490" s="451"/>
    </row>
    <row r="491" spans="8:19">
      <c r="H491" s="357"/>
      <c r="I491" s="357"/>
      <c r="J491" s="357"/>
      <c r="K491" s="357"/>
      <c r="L491" s="249"/>
      <c r="M491" s="249"/>
      <c r="N491" s="249"/>
      <c r="O491" s="249"/>
      <c r="P491" s="451"/>
      <c r="Q491" s="451"/>
      <c r="R491" s="451"/>
      <c r="S491" s="451"/>
    </row>
    <row r="492" spans="8:19">
      <c r="H492" s="357"/>
      <c r="I492" s="357"/>
      <c r="J492" s="357"/>
      <c r="K492" s="357"/>
      <c r="L492" s="249"/>
      <c r="M492" s="249"/>
      <c r="N492" s="249"/>
      <c r="O492" s="249"/>
      <c r="P492" s="451"/>
      <c r="Q492" s="451"/>
      <c r="R492" s="451"/>
      <c r="S492" s="451"/>
    </row>
    <row r="493" spans="8:19">
      <c r="H493" s="357"/>
      <c r="I493" s="357"/>
      <c r="J493" s="357"/>
      <c r="K493" s="357"/>
      <c r="L493" s="249"/>
      <c r="M493" s="249"/>
      <c r="N493" s="249"/>
      <c r="O493" s="249"/>
      <c r="P493" s="451"/>
      <c r="Q493" s="451"/>
      <c r="R493" s="451"/>
      <c r="S493" s="451"/>
    </row>
    <row r="494" spans="8:19">
      <c r="H494" s="357"/>
      <c r="I494" s="357"/>
      <c r="J494" s="357"/>
      <c r="K494" s="357"/>
      <c r="L494" s="249"/>
      <c r="M494" s="249"/>
      <c r="N494" s="249"/>
      <c r="O494" s="249"/>
      <c r="P494" s="451"/>
      <c r="Q494" s="451"/>
      <c r="R494" s="451"/>
      <c r="S494" s="451"/>
    </row>
    <row r="495" spans="8:19">
      <c r="H495" s="357"/>
      <c r="I495" s="357"/>
      <c r="J495" s="357"/>
      <c r="K495" s="357"/>
      <c r="L495" s="249"/>
      <c r="M495" s="249"/>
      <c r="N495" s="249"/>
      <c r="O495" s="249"/>
      <c r="P495" s="451"/>
      <c r="Q495" s="451"/>
      <c r="R495" s="451"/>
      <c r="S495" s="451"/>
    </row>
    <row r="496" spans="8:19">
      <c r="H496" s="357"/>
      <c r="I496" s="357"/>
      <c r="J496" s="357"/>
      <c r="K496" s="357"/>
      <c r="L496" s="249"/>
      <c r="M496" s="249"/>
      <c r="N496" s="249"/>
      <c r="O496" s="249"/>
      <c r="P496" s="451"/>
      <c r="Q496" s="451"/>
      <c r="R496" s="451"/>
      <c r="S496" s="451"/>
    </row>
    <row r="497" spans="8:19">
      <c r="H497" s="357"/>
      <c r="I497" s="357"/>
      <c r="J497" s="357"/>
      <c r="K497" s="357"/>
      <c r="L497" s="249"/>
      <c r="M497" s="249"/>
      <c r="N497" s="249"/>
      <c r="O497" s="249"/>
      <c r="P497" s="451"/>
      <c r="Q497" s="451"/>
      <c r="R497" s="451"/>
      <c r="S497" s="451"/>
    </row>
    <row r="498" spans="8:19">
      <c r="H498" s="357"/>
      <c r="I498" s="357"/>
      <c r="J498" s="357"/>
      <c r="K498" s="357"/>
      <c r="L498" s="249"/>
      <c r="M498" s="249"/>
      <c r="N498" s="249"/>
      <c r="O498" s="249"/>
      <c r="P498" s="451"/>
      <c r="Q498" s="451"/>
      <c r="R498" s="451"/>
      <c r="S498" s="451"/>
    </row>
    <row r="499" spans="8:19">
      <c r="H499" s="357"/>
      <c r="I499" s="357"/>
      <c r="J499" s="357"/>
      <c r="K499" s="357"/>
      <c r="L499" s="249"/>
      <c r="M499" s="249"/>
      <c r="N499" s="249"/>
      <c r="O499" s="249"/>
      <c r="P499" s="451"/>
      <c r="Q499" s="451"/>
      <c r="R499" s="451"/>
      <c r="S499" s="451"/>
    </row>
    <row r="500" spans="8:19">
      <c r="H500" s="357"/>
      <c r="I500" s="357"/>
      <c r="J500" s="357"/>
      <c r="K500" s="357"/>
      <c r="L500" s="249"/>
      <c r="M500" s="249"/>
      <c r="N500" s="249"/>
      <c r="O500" s="249"/>
      <c r="P500" s="451"/>
      <c r="Q500" s="451"/>
      <c r="R500" s="451"/>
      <c r="S500" s="451"/>
    </row>
    <row r="501" spans="8:19">
      <c r="H501" s="357"/>
      <c r="I501" s="357"/>
      <c r="J501" s="357"/>
      <c r="K501" s="357"/>
      <c r="L501" s="249"/>
      <c r="M501" s="249"/>
      <c r="N501" s="249"/>
      <c r="O501" s="249"/>
      <c r="P501" s="451"/>
      <c r="Q501" s="451"/>
      <c r="R501" s="451"/>
      <c r="S501" s="451"/>
    </row>
    <row r="502" spans="8:19">
      <c r="H502" s="357"/>
      <c r="I502" s="357"/>
      <c r="J502" s="357"/>
      <c r="K502" s="357"/>
      <c r="L502" s="249"/>
      <c r="M502" s="249"/>
      <c r="N502" s="249"/>
      <c r="O502" s="249"/>
      <c r="P502" s="451"/>
      <c r="Q502" s="451"/>
      <c r="R502" s="451"/>
      <c r="S502" s="451"/>
    </row>
    <row r="503" spans="8:19">
      <c r="H503" s="357"/>
      <c r="I503" s="357"/>
      <c r="J503" s="357"/>
      <c r="K503" s="357"/>
      <c r="L503" s="249"/>
      <c r="M503" s="249"/>
      <c r="N503" s="249"/>
      <c r="O503" s="249"/>
      <c r="P503" s="451"/>
      <c r="Q503" s="451"/>
      <c r="R503" s="451"/>
      <c r="S503" s="451"/>
    </row>
    <row r="504" spans="8:19">
      <c r="H504" s="357"/>
      <c r="I504" s="357"/>
      <c r="J504" s="357"/>
      <c r="K504" s="357"/>
      <c r="L504" s="249"/>
      <c r="M504" s="249"/>
      <c r="N504" s="249"/>
      <c r="O504" s="249"/>
      <c r="P504" s="451"/>
      <c r="Q504" s="451"/>
      <c r="R504" s="451"/>
      <c r="S504" s="451"/>
    </row>
    <row r="505" spans="8:19">
      <c r="H505" s="357"/>
      <c r="I505" s="357"/>
      <c r="J505" s="357"/>
      <c r="K505" s="357"/>
      <c r="L505" s="249"/>
      <c r="M505" s="249"/>
      <c r="N505" s="249"/>
      <c r="O505" s="249"/>
      <c r="P505" s="451"/>
      <c r="Q505" s="451"/>
      <c r="R505" s="451"/>
      <c r="S505" s="451"/>
    </row>
    <row r="506" spans="8:19">
      <c r="H506" s="357"/>
      <c r="I506" s="357"/>
      <c r="J506" s="357"/>
      <c r="K506" s="357"/>
      <c r="L506" s="249"/>
      <c r="M506" s="249"/>
      <c r="N506" s="249"/>
      <c r="O506" s="249"/>
      <c r="P506" s="451"/>
      <c r="Q506" s="451"/>
      <c r="R506" s="451"/>
      <c r="S506" s="451"/>
    </row>
    <row r="507" spans="8:19">
      <c r="H507" s="357"/>
      <c r="I507" s="357"/>
      <c r="J507" s="357"/>
      <c r="K507" s="357"/>
      <c r="L507" s="249"/>
      <c r="M507" s="249"/>
      <c r="N507" s="249"/>
      <c r="O507" s="249"/>
      <c r="P507" s="451"/>
      <c r="Q507" s="451"/>
      <c r="R507" s="451"/>
      <c r="S507" s="451"/>
    </row>
    <row r="508" spans="8:19">
      <c r="H508" s="357"/>
      <c r="I508" s="357"/>
      <c r="J508" s="357"/>
      <c r="K508" s="357"/>
      <c r="L508" s="249"/>
      <c r="M508" s="249"/>
      <c r="N508" s="249"/>
      <c r="O508" s="249"/>
      <c r="P508" s="451"/>
      <c r="Q508" s="451"/>
      <c r="R508" s="451"/>
      <c r="S508" s="451"/>
    </row>
    <row r="509" spans="8:19">
      <c r="H509" s="357"/>
      <c r="I509" s="357"/>
      <c r="J509" s="357"/>
      <c r="K509" s="357"/>
      <c r="L509" s="249"/>
      <c r="M509" s="249"/>
      <c r="N509" s="249"/>
      <c r="O509" s="249"/>
      <c r="P509" s="451"/>
      <c r="Q509" s="451"/>
      <c r="R509" s="451"/>
      <c r="S509" s="451"/>
    </row>
    <row r="510" spans="8:19">
      <c r="H510" s="357"/>
      <c r="I510" s="357"/>
      <c r="J510" s="357"/>
      <c r="K510" s="357"/>
      <c r="L510" s="249"/>
      <c r="M510" s="249"/>
      <c r="N510" s="249"/>
      <c r="O510" s="249"/>
      <c r="P510" s="451"/>
      <c r="Q510" s="451"/>
      <c r="R510" s="451"/>
      <c r="S510" s="451"/>
    </row>
    <row r="511" spans="8:19">
      <c r="H511" s="357"/>
      <c r="I511" s="357"/>
      <c r="J511" s="357"/>
      <c r="K511" s="357"/>
      <c r="L511" s="249"/>
      <c r="M511" s="249"/>
      <c r="N511" s="249"/>
      <c r="O511" s="249"/>
      <c r="P511" s="451"/>
      <c r="Q511" s="451"/>
      <c r="R511" s="451"/>
      <c r="S511" s="451"/>
    </row>
    <row r="512" spans="8:19">
      <c r="H512" s="357"/>
      <c r="I512" s="357"/>
      <c r="J512" s="357"/>
      <c r="K512" s="357"/>
      <c r="L512" s="249"/>
      <c r="M512" s="249"/>
      <c r="N512" s="249"/>
      <c r="O512" s="249"/>
      <c r="P512" s="451"/>
      <c r="Q512" s="451"/>
      <c r="R512" s="451"/>
      <c r="S512" s="451"/>
    </row>
    <row r="513" spans="8:19">
      <c r="H513" s="357"/>
      <c r="I513" s="357"/>
      <c r="J513" s="357"/>
      <c r="K513" s="357"/>
      <c r="L513" s="249"/>
      <c r="M513" s="249"/>
      <c r="N513" s="249"/>
      <c r="O513" s="249"/>
      <c r="P513" s="451"/>
      <c r="Q513" s="451"/>
      <c r="R513" s="451"/>
      <c r="S513" s="451"/>
    </row>
    <row r="514" spans="8:19">
      <c r="H514" s="357"/>
      <c r="I514" s="357"/>
      <c r="J514" s="357"/>
      <c r="K514" s="357"/>
      <c r="L514" s="249"/>
      <c r="M514" s="249"/>
      <c r="N514" s="249"/>
      <c r="O514" s="249"/>
      <c r="P514" s="451"/>
      <c r="Q514" s="451"/>
      <c r="R514" s="451"/>
      <c r="S514" s="451"/>
    </row>
    <row r="515" spans="8:19">
      <c r="H515" s="357"/>
      <c r="I515" s="357"/>
      <c r="J515" s="357"/>
      <c r="K515" s="357"/>
      <c r="L515" s="249"/>
      <c r="M515" s="249"/>
      <c r="N515" s="249"/>
      <c r="O515" s="249"/>
      <c r="P515" s="451"/>
      <c r="Q515" s="451"/>
      <c r="R515" s="451"/>
      <c r="S515" s="451"/>
    </row>
    <row r="516" spans="8:19">
      <c r="H516" s="357"/>
      <c r="I516" s="357"/>
      <c r="J516" s="357"/>
      <c r="K516" s="357"/>
      <c r="L516" s="249"/>
      <c r="M516" s="249"/>
      <c r="N516" s="249"/>
      <c r="O516" s="249"/>
      <c r="P516" s="451"/>
      <c r="Q516" s="451"/>
      <c r="R516" s="451"/>
      <c r="S516" s="451"/>
    </row>
    <row r="517" spans="8:19">
      <c r="H517" s="357"/>
      <c r="I517" s="357"/>
      <c r="J517" s="357"/>
      <c r="K517" s="357"/>
      <c r="L517" s="249"/>
      <c r="M517" s="249"/>
      <c r="N517" s="249"/>
      <c r="O517" s="249"/>
      <c r="P517" s="451"/>
      <c r="Q517" s="451"/>
      <c r="R517" s="451"/>
      <c r="S517" s="451"/>
    </row>
    <row r="518" spans="8:19">
      <c r="H518" s="357"/>
      <c r="I518" s="357"/>
      <c r="J518" s="357"/>
      <c r="K518" s="357"/>
      <c r="L518" s="249"/>
      <c r="M518" s="249"/>
      <c r="N518" s="249"/>
      <c r="O518" s="249"/>
      <c r="P518" s="451"/>
      <c r="Q518" s="451"/>
      <c r="R518" s="451"/>
      <c r="S518" s="451"/>
    </row>
    <row r="519" spans="8:19">
      <c r="H519" s="357"/>
      <c r="I519" s="357"/>
      <c r="J519" s="357"/>
      <c r="K519" s="357"/>
      <c r="L519" s="249"/>
      <c r="M519" s="249"/>
      <c r="N519" s="249"/>
      <c r="O519" s="249"/>
      <c r="P519" s="451"/>
      <c r="Q519" s="451"/>
      <c r="R519" s="451"/>
      <c r="S519" s="451"/>
    </row>
    <row r="520" spans="8:19">
      <c r="H520" s="357"/>
      <c r="I520" s="357"/>
      <c r="J520" s="357"/>
      <c r="K520" s="357"/>
      <c r="L520" s="249"/>
      <c r="M520" s="249"/>
      <c r="N520" s="249"/>
      <c r="O520" s="249"/>
      <c r="P520" s="451"/>
      <c r="Q520" s="451"/>
      <c r="R520" s="451"/>
      <c r="S520" s="451"/>
    </row>
    <row r="521" spans="8:19">
      <c r="H521" s="357"/>
      <c r="I521" s="357"/>
      <c r="J521" s="357"/>
      <c r="K521" s="357"/>
      <c r="L521" s="249"/>
      <c r="M521" s="249"/>
      <c r="N521" s="249"/>
      <c r="O521" s="249"/>
      <c r="P521" s="451"/>
      <c r="Q521" s="451"/>
      <c r="R521" s="451"/>
      <c r="S521" s="451"/>
    </row>
    <row r="522" spans="8:19">
      <c r="H522" s="357"/>
      <c r="I522" s="357"/>
      <c r="J522" s="357"/>
      <c r="K522" s="357"/>
      <c r="L522" s="249"/>
      <c r="M522" s="249"/>
      <c r="N522" s="249"/>
      <c r="O522" s="249"/>
      <c r="P522" s="451"/>
      <c r="Q522" s="451"/>
      <c r="R522" s="451"/>
      <c r="S522" s="451"/>
    </row>
    <row r="523" spans="8:19">
      <c r="H523" s="357"/>
      <c r="I523" s="357"/>
      <c r="J523" s="357"/>
      <c r="K523" s="357"/>
      <c r="L523" s="249"/>
      <c r="M523" s="249"/>
      <c r="N523" s="249"/>
      <c r="O523" s="249"/>
      <c r="P523" s="451"/>
      <c r="Q523" s="451"/>
      <c r="R523" s="451"/>
      <c r="S523" s="451"/>
    </row>
    <row r="524" spans="8:19">
      <c r="H524" s="357"/>
      <c r="I524" s="357"/>
      <c r="J524" s="357"/>
      <c r="K524" s="357"/>
      <c r="L524" s="249"/>
      <c r="M524" s="249"/>
      <c r="N524" s="249"/>
      <c r="O524" s="249"/>
      <c r="P524" s="451"/>
      <c r="Q524" s="451"/>
      <c r="R524" s="451"/>
      <c r="S524" s="451"/>
    </row>
    <row r="525" spans="8:19">
      <c r="H525" s="357"/>
      <c r="I525" s="357"/>
      <c r="J525" s="357"/>
      <c r="K525" s="357"/>
      <c r="L525" s="249"/>
      <c r="M525" s="249"/>
      <c r="N525" s="249"/>
      <c r="O525" s="249"/>
      <c r="P525" s="451"/>
      <c r="Q525" s="451"/>
      <c r="R525" s="451"/>
      <c r="S525" s="451"/>
    </row>
    <row r="526" spans="8:19">
      <c r="H526" s="357"/>
      <c r="I526" s="357"/>
      <c r="J526" s="357"/>
      <c r="K526" s="357"/>
      <c r="L526" s="249"/>
      <c r="M526" s="249"/>
      <c r="N526" s="249"/>
      <c r="O526" s="249"/>
      <c r="P526" s="451"/>
      <c r="Q526" s="451"/>
      <c r="R526" s="451"/>
      <c r="S526" s="451"/>
    </row>
    <row r="527" spans="8:19">
      <c r="H527" s="357"/>
      <c r="I527" s="357"/>
      <c r="J527" s="357"/>
      <c r="K527" s="357"/>
      <c r="L527" s="249"/>
      <c r="M527" s="249"/>
      <c r="N527" s="249"/>
      <c r="O527" s="249"/>
      <c r="P527" s="451"/>
      <c r="Q527" s="451"/>
      <c r="R527" s="451"/>
      <c r="S527" s="451"/>
    </row>
    <row r="528" spans="8:19">
      <c r="H528" s="357"/>
      <c r="I528" s="357"/>
      <c r="J528" s="357"/>
      <c r="K528" s="357"/>
      <c r="L528" s="249"/>
      <c r="M528" s="249"/>
      <c r="N528" s="249"/>
      <c r="O528" s="249"/>
      <c r="P528" s="451"/>
      <c r="Q528" s="451"/>
      <c r="R528" s="451"/>
      <c r="S528" s="451"/>
    </row>
    <row r="529" spans="8:19">
      <c r="H529" s="357"/>
      <c r="I529" s="357"/>
      <c r="J529" s="357"/>
      <c r="K529" s="357"/>
      <c r="L529" s="249"/>
      <c r="M529" s="249"/>
      <c r="N529" s="249"/>
      <c r="O529" s="249"/>
      <c r="P529" s="451"/>
      <c r="Q529" s="451"/>
      <c r="R529" s="451"/>
      <c r="S529" s="451"/>
    </row>
    <row r="530" spans="8:19">
      <c r="H530" s="357"/>
      <c r="I530" s="357"/>
      <c r="J530" s="357"/>
      <c r="K530" s="357"/>
      <c r="L530" s="249"/>
      <c r="M530" s="249"/>
      <c r="N530" s="249"/>
      <c r="O530" s="249"/>
      <c r="P530" s="451"/>
      <c r="Q530" s="451"/>
      <c r="R530" s="451"/>
      <c r="S530" s="451"/>
    </row>
    <row r="531" spans="8:19">
      <c r="H531" s="357"/>
      <c r="I531" s="357"/>
      <c r="J531" s="357"/>
      <c r="K531" s="357"/>
      <c r="L531" s="249"/>
      <c r="M531" s="249"/>
      <c r="N531" s="249"/>
      <c r="O531" s="249"/>
      <c r="P531" s="451"/>
      <c r="Q531" s="451"/>
      <c r="R531" s="451"/>
      <c r="S531" s="451"/>
    </row>
    <row r="532" spans="8:19">
      <c r="H532" s="357"/>
      <c r="I532" s="357"/>
      <c r="J532" s="357"/>
      <c r="K532" s="357"/>
      <c r="L532" s="249"/>
      <c r="M532" s="249"/>
      <c r="N532" s="249"/>
      <c r="O532" s="249"/>
      <c r="P532" s="451"/>
      <c r="Q532" s="451"/>
      <c r="R532" s="451"/>
      <c r="S532" s="451"/>
    </row>
    <row r="533" spans="8:19">
      <c r="H533" s="357"/>
      <c r="I533" s="357"/>
      <c r="J533" s="357"/>
      <c r="K533" s="357"/>
      <c r="L533" s="249"/>
      <c r="M533" s="249"/>
      <c r="N533" s="249"/>
      <c r="O533" s="249"/>
      <c r="P533" s="451"/>
      <c r="Q533" s="451"/>
      <c r="R533" s="451"/>
      <c r="S533" s="451"/>
    </row>
    <row r="534" spans="8:19">
      <c r="H534" s="357"/>
      <c r="I534" s="357"/>
      <c r="J534" s="357"/>
      <c r="K534" s="357"/>
      <c r="L534" s="249"/>
      <c r="M534" s="249"/>
      <c r="N534" s="249"/>
      <c r="O534" s="249"/>
      <c r="P534" s="451"/>
      <c r="Q534" s="451"/>
      <c r="R534" s="451"/>
      <c r="S534" s="451"/>
    </row>
    <row r="535" spans="8:19">
      <c r="H535" s="357"/>
      <c r="I535" s="357"/>
      <c r="J535" s="357"/>
      <c r="K535" s="357"/>
      <c r="L535" s="249"/>
      <c r="M535" s="249"/>
      <c r="N535" s="249"/>
      <c r="O535" s="249"/>
      <c r="P535" s="451"/>
      <c r="Q535" s="451"/>
      <c r="R535" s="451"/>
      <c r="S535" s="451"/>
    </row>
    <row r="536" spans="8:19">
      <c r="H536" s="357"/>
      <c r="I536" s="357"/>
      <c r="J536" s="357"/>
      <c r="K536" s="357"/>
      <c r="L536" s="249"/>
      <c r="M536" s="249"/>
      <c r="N536" s="249"/>
      <c r="O536" s="249"/>
      <c r="P536" s="451"/>
      <c r="Q536" s="451"/>
      <c r="R536" s="451"/>
      <c r="S536" s="451"/>
    </row>
    <row r="537" spans="8:19">
      <c r="H537" s="357"/>
      <c r="I537" s="357"/>
      <c r="J537" s="357"/>
      <c r="K537" s="357"/>
      <c r="L537" s="249"/>
      <c r="M537" s="249"/>
      <c r="N537" s="249"/>
      <c r="O537" s="249"/>
      <c r="P537" s="451"/>
      <c r="Q537" s="451"/>
      <c r="R537" s="451"/>
      <c r="S537" s="451"/>
    </row>
    <row r="538" spans="8:19">
      <c r="H538" s="357"/>
      <c r="I538" s="357"/>
      <c r="J538" s="357"/>
      <c r="K538" s="357"/>
      <c r="L538" s="249"/>
      <c r="M538" s="249"/>
      <c r="N538" s="249"/>
      <c r="O538" s="249"/>
      <c r="P538" s="451"/>
      <c r="Q538" s="451"/>
      <c r="R538" s="451"/>
      <c r="S538" s="451"/>
    </row>
    <row r="539" spans="8:19">
      <c r="H539" s="357"/>
      <c r="I539" s="357"/>
      <c r="J539" s="357"/>
      <c r="K539" s="357"/>
      <c r="L539" s="249"/>
      <c r="M539" s="249"/>
      <c r="N539" s="249"/>
      <c r="O539" s="249"/>
      <c r="P539" s="451"/>
      <c r="Q539" s="451"/>
      <c r="R539" s="451"/>
      <c r="S539" s="451"/>
    </row>
    <row r="540" spans="8:19">
      <c r="H540" s="357"/>
      <c r="I540" s="357"/>
      <c r="J540" s="357"/>
      <c r="K540" s="357"/>
      <c r="L540" s="249"/>
      <c r="M540" s="249"/>
      <c r="N540" s="249"/>
      <c r="O540" s="249"/>
      <c r="P540" s="451"/>
      <c r="Q540" s="451"/>
      <c r="R540" s="451"/>
      <c r="S540" s="451"/>
    </row>
    <row r="541" spans="8:19">
      <c r="H541" s="357"/>
      <c r="I541" s="357"/>
      <c r="J541" s="357"/>
      <c r="K541" s="357"/>
      <c r="L541" s="249"/>
      <c r="M541" s="249"/>
      <c r="N541" s="249"/>
      <c r="O541" s="249"/>
      <c r="P541" s="451"/>
      <c r="Q541" s="451"/>
      <c r="R541" s="451"/>
      <c r="S541" s="451"/>
    </row>
    <row r="542" spans="8:19">
      <c r="H542" s="357"/>
      <c r="I542" s="357"/>
      <c r="J542" s="357"/>
      <c r="K542" s="357"/>
      <c r="L542" s="249"/>
      <c r="M542" s="249"/>
      <c r="N542" s="249"/>
      <c r="O542" s="249"/>
      <c r="P542" s="451"/>
      <c r="Q542" s="451"/>
      <c r="R542" s="451"/>
      <c r="S542" s="451"/>
    </row>
    <row r="543" spans="8:19">
      <c r="H543" s="357"/>
      <c r="I543" s="357"/>
      <c r="J543" s="357"/>
      <c r="K543" s="357"/>
      <c r="L543" s="249"/>
      <c r="M543" s="249"/>
      <c r="N543" s="249"/>
      <c r="O543" s="249"/>
      <c r="P543" s="451"/>
      <c r="Q543" s="451"/>
      <c r="R543" s="451"/>
      <c r="S543" s="451"/>
    </row>
    <row r="544" spans="8:19">
      <c r="H544" s="357"/>
      <c r="I544" s="357"/>
      <c r="J544" s="357"/>
      <c r="K544" s="357"/>
      <c r="L544" s="249"/>
      <c r="M544" s="249"/>
      <c r="N544" s="249"/>
      <c r="O544" s="249"/>
      <c r="P544" s="451"/>
      <c r="Q544" s="451"/>
      <c r="R544" s="451"/>
      <c r="S544" s="451"/>
    </row>
    <row r="545" spans="8:19">
      <c r="H545" s="357"/>
      <c r="I545" s="357"/>
      <c r="J545" s="357"/>
      <c r="K545" s="357"/>
      <c r="L545" s="249"/>
      <c r="M545" s="249"/>
      <c r="N545" s="249"/>
      <c r="O545" s="249"/>
      <c r="P545" s="451"/>
      <c r="Q545" s="451"/>
      <c r="R545" s="451"/>
      <c r="S545" s="451"/>
    </row>
    <row r="546" spans="8:19">
      <c r="H546" s="357"/>
      <c r="I546" s="357"/>
      <c r="J546" s="357"/>
      <c r="K546" s="357"/>
      <c r="L546" s="249"/>
      <c r="M546" s="249"/>
      <c r="N546" s="249"/>
      <c r="O546" s="249"/>
      <c r="P546" s="451"/>
      <c r="Q546" s="451"/>
      <c r="R546" s="451"/>
      <c r="S546" s="451"/>
    </row>
    <row r="547" spans="8:19">
      <c r="H547" s="357"/>
      <c r="I547" s="357"/>
      <c r="J547" s="357"/>
      <c r="K547" s="357"/>
      <c r="L547" s="249"/>
      <c r="M547" s="249"/>
      <c r="N547" s="249"/>
      <c r="O547" s="249"/>
      <c r="P547" s="451"/>
      <c r="Q547" s="451"/>
      <c r="R547" s="451"/>
      <c r="S547" s="451"/>
    </row>
    <row r="548" spans="8:19">
      <c r="H548" s="357"/>
      <c r="I548" s="357"/>
      <c r="J548" s="357"/>
      <c r="K548" s="357"/>
      <c r="L548" s="249"/>
      <c r="M548" s="249"/>
      <c r="N548" s="249"/>
      <c r="O548" s="249"/>
      <c r="P548" s="451"/>
      <c r="Q548" s="451"/>
      <c r="R548" s="451"/>
      <c r="S548" s="451"/>
    </row>
    <row r="549" spans="8:19">
      <c r="H549" s="357"/>
      <c r="I549" s="357"/>
      <c r="J549" s="357"/>
      <c r="K549" s="357"/>
      <c r="L549" s="249"/>
      <c r="M549" s="249"/>
      <c r="N549" s="249"/>
      <c r="O549" s="249"/>
      <c r="P549" s="451"/>
      <c r="Q549" s="451"/>
      <c r="R549" s="451"/>
      <c r="S549" s="451"/>
    </row>
    <row r="550" spans="8:19">
      <c r="H550" s="357"/>
      <c r="I550" s="357"/>
      <c r="J550" s="357"/>
      <c r="K550" s="357"/>
      <c r="L550" s="249"/>
      <c r="M550" s="249"/>
      <c r="N550" s="249"/>
      <c r="O550" s="249"/>
      <c r="P550" s="451"/>
      <c r="Q550" s="451"/>
      <c r="R550" s="451"/>
      <c r="S550" s="451"/>
    </row>
    <row r="551" spans="8:19">
      <c r="H551" s="357"/>
      <c r="I551" s="357"/>
      <c r="J551" s="357"/>
      <c r="K551" s="357"/>
      <c r="L551" s="249"/>
      <c r="M551" s="249"/>
      <c r="N551" s="249"/>
      <c r="O551" s="249"/>
      <c r="P551" s="451"/>
      <c r="Q551" s="451"/>
      <c r="R551" s="451"/>
      <c r="S551" s="451"/>
    </row>
    <row r="552" spans="8:19">
      <c r="H552" s="357"/>
      <c r="I552" s="357"/>
      <c r="J552" s="357"/>
      <c r="K552" s="357"/>
      <c r="L552" s="249"/>
      <c r="M552" s="249"/>
      <c r="N552" s="249"/>
      <c r="O552" s="249"/>
      <c r="P552" s="451"/>
      <c r="Q552" s="451"/>
      <c r="R552" s="451"/>
      <c r="S552" s="451"/>
    </row>
    <row r="553" spans="8:19">
      <c r="H553" s="357"/>
      <c r="I553" s="357"/>
      <c r="J553" s="357"/>
      <c r="K553" s="357"/>
      <c r="L553" s="249"/>
      <c r="M553" s="249"/>
      <c r="N553" s="249"/>
      <c r="O553" s="249"/>
      <c r="P553" s="451"/>
      <c r="Q553" s="451"/>
      <c r="R553" s="451"/>
      <c r="S553" s="451"/>
    </row>
    <row r="554" spans="8:19">
      <c r="H554" s="357"/>
      <c r="I554" s="357"/>
      <c r="J554" s="357"/>
      <c r="K554" s="357"/>
      <c r="L554" s="249"/>
      <c r="M554" s="249"/>
      <c r="N554" s="249"/>
      <c r="O554" s="249"/>
      <c r="P554" s="451"/>
      <c r="Q554" s="451"/>
      <c r="R554" s="451"/>
      <c r="S554" s="451"/>
    </row>
    <row r="555" spans="8:19">
      <c r="H555" s="357"/>
      <c r="I555" s="357"/>
      <c r="J555" s="357"/>
      <c r="K555" s="357"/>
      <c r="L555" s="249"/>
      <c r="M555" s="249"/>
      <c r="N555" s="249"/>
      <c r="O555" s="249"/>
      <c r="P555" s="451"/>
      <c r="Q555" s="451"/>
      <c r="R555" s="451"/>
      <c r="S555" s="451"/>
    </row>
    <row r="556" spans="8:19">
      <c r="H556" s="357"/>
      <c r="I556" s="357"/>
      <c r="J556" s="357"/>
      <c r="K556" s="357"/>
      <c r="L556" s="249"/>
      <c r="M556" s="249"/>
      <c r="N556" s="249"/>
      <c r="O556" s="249"/>
      <c r="P556" s="451"/>
      <c r="Q556" s="451"/>
      <c r="R556" s="451"/>
      <c r="S556" s="451"/>
    </row>
    <row r="557" spans="8:19">
      <c r="H557" s="357"/>
      <c r="I557" s="357"/>
      <c r="J557" s="357"/>
      <c r="K557" s="357"/>
      <c r="L557" s="249"/>
      <c r="M557" s="249"/>
      <c r="N557" s="249"/>
      <c r="O557" s="249"/>
      <c r="P557" s="451"/>
      <c r="Q557" s="451"/>
      <c r="R557" s="451"/>
      <c r="S557" s="451"/>
    </row>
    <row r="558" spans="8:19">
      <c r="H558" s="357"/>
      <c r="I558" s="357"/>
      <c r="J558" s="357"/>
      <c r="K558" s="357"/>
      <c r="L558" s="249"/>
      <c r="M558" s="249"/>
      <c r="N558" s="249"/>
      <c r="O558" s="249"/>
      <c r="P558" s="451"/>
      <c r="Q558" s="451"/>
      <c r="R558" s="451"/>
      <c r="S558" s="451"/>
    </row>
    <row r="559" spans="8:19">
      <c r="H559" s="357"/>
      <c r="I559" s="357"/>
      <c r="J559" s="357"/>
      <c r="K559" s="357"/>
      <c r="L559" s="249"/>
      <c r="M559" s="249"/>
      <c r="N559" s="249"/>
      <c r="O559" s="249"/>
      <c r="P559" s="451"/>
      <c r="Q559" s="451"/>
      <c r="R559" s="451"/>
      <c r="S559" s="451"/>
    </row>
    <row r="560" spans="8:19">
      <c r="H560" s="357"/>
      <c r="I560" s="357"/>
      <c r="J560" s="357"/>
      <c r="K560" s="357"/>
      <c r="L560" s="249"/>
      <c r="M560" s="249"/>
      <c r="N560" s="249"/>
      <c r="O560" s="249"/>
      <c r="P560" s="451"/>
      <c r="Q560" s="451"/>
      <c r="R560" s="451"/>
      <c r="S560" s="451"/>
    </row>
    <row r="561" spans="8:19">
      <c r="H561" s="357"/>
      <c r="I561" s="357"/>
      <c r="J561" s="357"/>
      <c r="K561" s="357"/>
      <c r="L561" s="249"/>
      <c r="M561" s="249"/>
      <c r="N561" s="249"/>
      <c r="O561" s="249"/>
      <c r="P561" s="451"/>
      <c r="Q561" s="451"/>
      <c r="R561" s="451"/>
      <c r="S561" s="451"/>
    </row>
    <row r="562" spans="8:19">
      <c r="H562" s="357"/>
      <c r="I562" s="357"/>
      <c r="J562" s="357"/>
      <c r="K562" s="357"/>
      <c r="L562" s="249"/>
      <c r="M562" s="249"/>
      <c r="N562" s="249"/>
      <c r="O562" s="249"/>
      <c r="P562" s="451"/>
      <c r="Q562" s="451"/>
      <c r="R562" s="451"/>
      <c r="S562" s="451"/>
    </row>
    <row r="563" spans="8:19">
      <c r="H563" s="357"/>
      <c r="I563" s="357"/>
      <c r="J563" s="357"/>
      <c r="K563" s="357"/>
      <c r="L563" s="249"/>
      <c r="M563" s="249"/>
      <c r="N563" s="249"/>
      <c r="O563" s="249"/>
      <c r="P563" s="451"/>
      <c r="Q563" s="451"/>
      <c r="R563" s="451"/>
      <c r="S563" s="451"/>
    </row>
    <row r="564" spans="8:19">
      <c r="H564" s="357"/>
      <c r="I564" s="357"/>
      <c r="J564" s="357"/>
      <c r="K564" s="357"/>
      <c r="L564" s="249"/>
      <c r="M564" s="249"/>
      <c r="N564" s="249"/>
      <c r="O564" s="249"/>
      <c r="P564" s="451"/>
      <c r="Q564" s="451"/>
      <c r="R564" s="451"/>
      <c r="S564" s="451"/>
    </row>
    <row r="565" spans="8:19">
      <c r="H565" s="357"/>
      <c r="I565" s="357"/>
      <c r="J565" s="357"/>
      <c r="K565" s="357"/>
      <c r="L565" s="249"/>
      <c r="M565" s="249"/>
      <c r="N565" s="249"/>
      <c r="O565" s="249"/>
      <c r="P565" s="451"/>
      <c r="Q565" s="451"/>
      <c r="R565" s="451"/>
      <c r="S565" s="451"/>
    </row>
    <row r="566" spans="8:19">
      <c r="H566" s="357"/>
      <c r="I566" s="357"/>
      <c r="J566" s="357"/>
      <c r="K566" s="357"/>
      <c r="L566" s="249"/>
      <c r="M566" s="249"/>
      <c r="N566" s="249"/>
      <c r="O566" s="249"/>
      <c r="P566" s="451"/>
      <c r="Q566" s="451"/>
      <c r="R566" s="451"/>
      <c r="S566" s="451"/>
    </row>
    <row r="567" spans="8:19">
      <c r="H567" s="357"/>
      <c r="I567" s="357"/>
      <c r="J567" s="357"/>
      <c r="K567" s="357"/>
      <c r="L567" s="249"/>
      <c r="M567" s="249"/>
      <c r="N567" s="249"/>
      <c r="O567" s="249"/>
      <c r="P567" s="451"/>
      <c r="Q567" s="451"/>
      <c r="R567" s="451"/>
      <c r="S567" s="451"/>
    </row>
    <row r="568" spans="8:19">
      <c r="H568" s="357"/>
      <c r="I568" s="357"/>
      <c r="J568" s="357"/>
      <c r="K568" s="357"/>
      <c r="L568" s="249"/>
      <c r="M568" s="249"/>
      <c r="N568" s="249"/>
      <c r="O568" s="249"/>
      <c r="P568" s="451"/>
      <c r="Q568" s="451"/>
      <c r="R568" s="451"/>
      <c r="S568" s="451"/>
    </row>
    <row r="569" spans="8:19">
      <c r="H569" s="357"/>
      <c r="I569" s="357"/>
      <c r="J569" s="357"/>
      <c r="K569" s="357"/>
      <c r="L569" s="249"/>
      <c r="M569" s="249"/>
      <c r="N569" s="249"/>
      <c r="O569" s="249"/>
      <c r="P569" s="451"/>
      <c r="Q569" s="451"/>
      <c r="R569" s="451"/>
      <c r="S569" s="451"/>
    </row>
    <row r="570" spans="8:19">
      <c r="H570" s="357"/>
      <c r="I570" s="357"/>
      <c r="J570" s="357"/>
      <c r="K570" s="357"/>
      <c r="L570" s="249"/>
      <c r="M570" s="249"/>
      <c r="N570" s="249"/>
      <c r="O570" s="249"/>
      <c r="P570" s="451"/>
      <c r="Q570" s="451"/>
      <c r="R570" s="451"/>
      <c r="S570" s="451"/>
    </row>
    <row r="571" spans="8:19">
      <c r="H571" s="357"/>
      <c r="I571" s="357"/>
      <c r="J571" s="357"/>
      <c r="K571" s="357"/>
      <c r="L571" s="249"/>
      <c r="M571" s="249"/>
      <c r="N571" s="249"/>
      <c r="O571" s="249"/>
      <c r="P571" s="451"/>
      <c r="Q571" s="451"/>
      <c r="R571" s="451"/>
      <c r="S571" s="451"/>
    </row>
    <row r="572" spans="8:19">
      <c r="H572" s="357"/>
      <c r="I572" s="357"/>
      <c r="J572" s="357"/>
      <c r="K572" s="357"/>
      <c r="L572" s="249"/>
      <c r="M572" s="249"/>
      <c r="N572" s="249"/>
      <c r="O572" s="249"/>
      <c r="P572" s="451"/>
      <c r="Q572" s="451"/>
      <c r="R572" s="451"/>
      <c r="S572" s="451"/>
    </row>
    <row r="573" spans="8:19">
      <c r="H573" s="357"/>
      <c r="I573" s="357"/>
      <c r="J573" s="357"/>
      <c r="K573" s="357"/>
      <c r="L573" s="249"/>
      <c r="M573" s="249"/>
      <c r="N573" s="249"/>
      <c r="O573" s="249"/>
      <c r="P573" s="451"/>
      <c r="Q573" s="451"/>
      <c r="R573" s="451"/>
      <c r="S573" s="451"/>
    </row>
    <row r="574" spans="8:19">
      <c r="H574" s="357"/>
      <c r="I574" s="357"/>
      <c r="J574" s="357"/>
      <c r="K574" s="357"/>
      <c r="L574" s="249"/>
      <c r="M574" s="249"/>
      <c r="N574" s="249"/>
      <c r="O574" s="249"/>
      <c r="P574" s="451"/>
      <c r="Q574" s="451"/>
      <c r="R574" s="451"/>
      <c r="S574" s="451"/>
    </row>
    <row r="575" spans="8:19">
      <c r="H575" s="357"/>
      <c r="I575" s="357"/>
      <c r="J575" s="357"/>
      <c r="K575" s="357"/>
      <c r="L575" s="249"/>
      <c r="M575" s="249"/>
      <c r="N575" s="249"/>
      <c r="O575" s="249"/>
      <c r="P575" s="451"/>
      <c r="Q575" s="451"/>
      <c r="R575" s="451"/>
      <c r="S575" s="451"/>
    </row>
    <row r="576" spans="8:19">
      <c r="H576" s="357"/>
      <c r="I576" s="357"/>
      <c r="J576" s="357"/>
      <c r="K576" s="357"/>
      <c r="L576" s="249"/>
      <c r="M576" s="249"/>
      <c r="N576" s="249"/>
      <c r="O576" s="249"/>
      <c r="P576" s="451"/>
      <c r="Q576" s="451"/>
      <c r="R576" s="451"/>
      <c r="S576" s="451"/>
    </row>
    <row r="577" spans="8:19">
      <c r="H577" s="357"/>
      <c r="I577" s="357"/>
      <c r="J577" s="357"/>
      <c r="K577" s="357"/>
      <c r="L577" s="249"/>
      <c r="M577" s="249"/>
      <c r="N577" s="249"/>
      <c r="O577" s="249"/>
      <c r="P577" s="451"/>
      <c r="Q577" s="451"/>
      <c r="R577" s="451"/>
      <c r="S577" s="451"/>
    </row>
    <row r="578" spans="8:19">
      <c r="H578" s="357"/>
      <c r="I578" s="357"/>
      <c r="J578" s="357"/>
      <c r="K578" s="357"/>
      <c r="L578" s="249"/>
      <c r="M578" s="249"/>
      <c r="N578" s="249"/>
      <c r="O578" s="249"/>
      <c r="P578" s="451"/>
      <c r="Q578" s="451"/>
      <c r="R578" s="451"/>
      <c r="S578" s="451"/>
    </row>
    <row r="579" spans="8:19">
      <c r="H579" s="357"/>
      <c r="I579" s="357"/>
      <c r="J579" s="357"/>
      <c r="K579" s="357"/>
      <c r="L579" s="249"/>
      <c r="M579" s="249"/>
      <c r="N579" s="249"/>
      <c r="O579" s="249"/>
      <c r="P579" s="451"/>
      <c r="Q579" s="451"/>
      <c r="R579" s="451"/>
      <c r="S579" s="451"/>
    </row>
    <row r="580" spans="8:19">
      <c r="H580" s="357"/>
      <c r="I580" s="357"/>
      <c r="J580" s="357"/>
      <c r="K580" s="357"/>
      <c r="L580" s="249"/>
      <c r="M580" s="249"/>
      <c r="N580" s="249"/>
      <c r="O580" s="249"/>
      <c r="P580" s="451"/>
      <c r="Q580" s="451"/>
      <c r="R580" s="451"/>
      <c r="S580" s="451"/>
    </row>
    <row r="581" spans="8:19">
      <c r="H581" s="357"/>
      <c r="I581" s="357"/>
      <c r="J581" s="357"/>
      <c r="K581" s="357"/>
      <c r="L581" s="249"/>
      <c r="M581" s="249"/>
      <c r="N581" s="249"/>
      <c r="O581" s="249"/>
      <c r="P581" s="451"/>
      <c r="Q581" s="451"/>
      <c r="R581" s="451"/>
      <c r="S581" s="451"/>
    </row>
    <row r="582" spans="8:19">
      <c r="H582" s="357"/>
      <c r="I582" s="357"/>
      <c r="J582" s="357"/>
      <c r="K582" s="357"/>
      <c r="L582" s="249"/>
      <c r="M582" s="249"/>
      <c r="N582" s="249"/>
      <c r="O582" s="249"/>
      <c r="P582" s="451"/>
      <c r="Q582" s="451"/>
      <c r="R582" s="451"/>
      <c r="S582" s="451"/>
    </row>
    <row r="583" spans="8:19">
      <c r="H583" s="357"/>
      <c r="I583" s="357"/>
      <c r="J583" s="357"/>
      <c r="K583" s="357"/>
      <c r="L583" s="249"/>
      <c r="M583" s="249"/>
      <c r="N583" s="249"/>
      <c r="O583" s="249"/>
      <c r="P583" s="451"/>
      <c r="Q583" s="451"/>
      <c r="R583" s="451"/>
      <c r="S583" s="451"/>
    </row>
    <row r="584" spans="8:19">
      <c r="H584" s="357"/>
      <c r="I584" s="357"/>
      <c r="J584" s="357"/>
      <c r="K584" s="357"/>
      <c r="L584" s="249"/>
      <c r="M584" s="249"/>
      <c r="N584" s="249"/>
      <c r="O584" s="249"/>
      <c r="P584" s="451"/>
      <c r="Q584" s="451"/>
      <c r="R584" s="451"/>
      <c r="S584" s="451"/>
    </row>
    <row r="585" spans="8:19">
      <c r="H585" s="357"/>
      <c r="I585" s="357"/>
      <c r="J585" s="357"/>
      <c r="K585" s="357"/>
      <c r="L585" s="249"/>
      <c r="M585" s="249"/>
      <c r="N585" s="249"/>
      <c r="O585" s="249"/>
      <c r="P585" s="451"/>
      <c r="Q585" s="451"/>
      <c r="R585" s="451"/>
      <c r="S585" s="451"/>
    </row>
    <row r="586" spans="8:19">
      <c r="H586" s="357"/>
      <c r="I586" s="357"/>
      <c r="J586" s="357"/>
      <c r="K586" s="357"/>
      <c r="L586" s="249"/>
      <c r="M586" s="249"/>
      <c r="N586" s="249"/>
      <c r="O586" s="249"/>
      <c r="P586" s="451"/>
      <c r="Q586" s="451"/>
      <c r="R586" s="451"/>
      <c r="S586" s="451"/>
    </row>
    <row r="587" spans="8:19">
      <c r="H587" s="357"/>
      <c r="I587" s="357"/>
      <c r="J587" s="357"/>
      <c r="K587" s="357"/>
      <c r="L587" s="249"/>
      <c r="M587" s="249"/>
      <c r="N587" s="249"/>
      <c r="O587" s="249"/>
      <c r="P587" s="451"/>
      <c r="Q587" s="451"/>
      <c r="R587" s="451"/>
      <c r="S587" s="451"/>
    </row>
    <row r="588" spans="8:19">
      <c r="H588" s="357"/>
      <c r="I588" s="357"/>
      <c r="J588" s="357"/>
      <c r="K588" s="357"/>
      <c r="L588" s="249"/>
      <c r="M588" s="249"/>
      <c r="N588" s="249"/>
      <c r="O588" s="249"/>
      <c r="P588" s="451"/>
      <c r="Q588" s="451"/>
      <c r="R588" s="451"/>
      <c r="S588" s="451"/>
    </row>
    <row r="589" spans="8:19">
      <c r="H589" s="357"/>
      <c r="I589" s="357"/>
      <c r="J589" s="357"/>
      <c r="K589" s="357"/>
      <c r="L589" s="249"/>
      <c r="M589" s="249"/>
      <c r="N589" s="249"/>
      <c r="O589" s="249"/>
      <c r="P589" s="451"/>
      <c r="Q589" s="451"/>
      <c r="R589" s="451"/>
      <c r="S589" s="451"/>
    </row>
    <row r="590" spans="8:19">
      <c r="H590" s="357"/>
      <c r="I590" s="357"/>
      <c r="J590" s="357"/>
      <c r="K590" s="357"/>
      <c r="L590" s="249"/>
      <c r="M590" s="249"/>
      <c r="N590" s="249"/>
      <c r="O590" s="249"/>
      <c r="P590" s="451"/>
      <c r="Q590" s="451"/>
      <c r="R590" s="451"/>
      <c r="S590" s="451"/>
    </row>
    <row r="591" spans="8:19">
      <c r="H591" s="357"/>
      <c r="I591" s="357"/>
      <c r="J591" s="357"/>
      <c r="K591" s="357"/>
      <c r="L591" s="249"/>
      <c r="M591" s="249"/>
      <c r="N591" s="249"/>
      <c r="O591" s="249"/>
      <c r="P591" s="451"/>
      <c r="Q591" s="451"/>
      <c r="R591" s="451"/>
      <c r="S591" s="451"/>
    </row>
    <row r="592" spans="8:19">
      <c r="H592" s="357"/>
      <c r="I592" s="357"/>
      <c r="J592" s="357"/>
      <c r="K592" s="357"/>
      <c r="L592" s="249"/>
      <c r="M592" s="249"/>
      <c r="N592" s="249"/>
      <c r="O592" s="249"/>
      <c r="P592" s="451"/>
      <c r="Q592" s="451"/>
      <c r="R592" s="451"/>
      <c r="S592" s="451"/>
    </row>
    <row r="593" spans="8:19">
      <c r="H593" s="357"/>
      <c r="I593" s="357"/>
      <c r="J593" s="357"/>
      <c r="K593" s="357"/>
      <c r="L593" s="249"/>
      <c r="M593" s="249"/>
      <c r="N593" s="249"/>
      <c r="O593" s="249"/>
      <c r="P593" s="451"/>
      <c r="Q593" s="451"/>
      <c r="R593" s="451"/>
      <c r="S593" s="451"/>
    </row>
    <row r="594" spans="8:19">
      <c r="H594" s="357"/>
      <c r="I594" s="357"/>
      <c r="J594" s="357"/>
      <c r="K594" s="357"/>
      <c r="L594" s="249"/>
      <c r="M594" s="249"/>
      <c r="N594" s="249"/>
      <c r="O594" s="249"/>
      <c r="P594" s="451"/>
      <c r="Q594" s="451"/>
      <c r="R594" s="451"/>
      <c r="S594" s="451"/>
    </row>
    <row r="595" spans="8:19">
      <c r="H595" s="357"/>
      <c r="I595" s="357"/>
      <c r="J595" s="357"/>
      <c r="K595" s="357"/>
      <c r="L595" s="249"/>
      <c r="M595" s="249"/>
      <c r="N595" s="249"/>
      <c r="O595" s="249"/>
      <c r="P595" s="451"/>
      <c r="Q595" s="451"/>
      <c r="R595" s="451"/>
      <c r="S595" s="451"/>
    </row>
    <row r="596" spans="8:19">
      <c r="H596" s="357"/>
      <c r="I596" s="357"/>
      <c r="J596" s="357"/>
      <c r="K596" s="357"/>
      <c r="L596" s="249"/>
      <c r="M596" s="249"/>
      <c r="N596" s="249"/>
      <c r="O596" s="249"/>
      <c r="P596" s="451"/>
      <c r="Q596" s="451"/>
      <c r="R596" s="451"/>
      <c r="S596" s="451"/>
    </row>
    <row r="597" spans="8:19">
      <c r="H597" s="357"/>
      <c r="I597" s="357"/>
      <c r="J597" s="357"/>
      <c r="K597" s="357"/>
      <c r="L597" s="249"/>
      <c r="M597" s="249"/>
      <c r="N597" s="249"/>
      <c r="O597" s="249"/>
      <c r="P597" s="451"/>
      <c r="Q597" s="451"/>
      <c r="R597" s="451"/>
      <c r="S597" s="451"/>
    </row>
    <row r="598" spans="8:19">
      <c r="H598" s="357"/>
      <c r="I598" s="357"/>
      <c r="J598" s="357"/>
      <c r="K598" s="357"/>
      <c r="L598" s="249"/>
      <c r="M598" s="249"/>
      <c r="N598" s="249"/>
      <c r="O598" s="249"/>
      <c r="P598" s="451"/>
      <c r="Q598" s="451"/>
      <c r="R598" s="451"/>
      <c r="S598" s="451"/>
    </row>
    <row r="599" spans="8:19">
      <c r="H599" s="357"/>
      <c r="I599" s="357"/>
      <c r="J599" s="357"/>
      <c r="K599" s="357"/>
      <c r="L599" s="249"/>
      <c r="M599" s="249"/>
      <c r="N599" s="249"/>
      <c r="O599" s="249"/>
      <c r="P599" s="451"/>
      <c r="Q599" s="451"/>
      <c r="R599" s="451"/>
      <c r="S599" s="451"/>
    </row>
    <row r="600" spans="8:19">
      <c r="H600" s="357"/>
      <c r="I600" s="357"/>
      <c r="J600" s="357"/>
      <c r="K600" s="357"/>
      <c r="L600" s="249"/>
      <c r="M600" s="249"/>
      <c r="N600" s="249"/>
      <c r="O600" s="249"/>
      <c r="P600" s="451"/>
      <c r="Q600" s="451"/>
      <c r="R600" s="451"/>
      <c r="S600" s="451"/>
    </row>
    <row r="601" spans="8:19">
      <c r="H601" s="357"/>
      <c r="I601" s="357"/>
      <c r="J601" s="357"/>
      <c r="K601" s="357"/>
      <c r="L601" s="249"/>
      <c r="M601" s="249"/>
      <c r="N601" s="249"/>
      <c r="O601" s="249"/>
      <c r="P601" s="451"/>
      <c r="Q601" s="451"/>
      <c r="R601" s="451"/>
      <c r="S601" s="451"/>
    </row>
    <row r="602" spans="8:19">
      <c r="H602" s="357"/>
      <c r="I602" s="357"/>
      <c r="J602" s="357"/>
      <c r="K602" s="357"/>
      <c r="L602" s="249"/>
      <c r="M602" s="249"/>
      <c r="N602" s="249"/>
      <c r="O602" s="249"/>
      <c r="P602" s="451"/>
      <c r="Q602" s="451"/>
      <c r="R602" s="451"/>
      <c r="S602" s="451"/>
    </row>
    <row r="603" spans="8:19">
      <c r="H603" s="357"/>
      <c r="I603" s="357"/>
      <c r="J603" s="357"/>
      <c r="K603" s="357"/>
      <c r="L603" s="249"/>
      <c r="M603" s="249"/>
      <c r="N603" s="249"/>
      <c r="O603" s="249"/>
      <c r="P603" s="451"/>
      <c r="Q603" s="451"/>
      <c r="R603" s="451"/>
      <c r="S603" s="451"/>
    </row>
    <row r="604" spans="8:19">
      <c r="H604" s="357"/>
      <c r="I604" s="357"/>
      <c r="J604" s="357"/>
      <c r="K604" s="357"/>
      <c r="L604" s="249"/>
      <c r="M604" s="249"/>
      <c r="N604" s="249"/>
      <c r="O604" s="249"/>
      <c r="P604" s="451"/>
      <c r="Q604" s="451"/>
      <c r="R604" s="451"/>
      <c r="S604" s="451"/>
    </row>
    <row r="605" spans="8:19">
      <c r="H605" s="357"/>
      <c r="I605" s="357"/>
      <c r="J605" s="357"/>
      <c r="K605" s="357"/>
      <c r="L605" s="249"/>
      <c r="M605" s="249"/>
      <c r="N605" s="249"/>
      <c r="O605" s="249"/>
      <c r="P605" s="451"/>
      <c r="Q605" s="451"/>
      <c r="R605" s="451"/>
      <c r="S605" s="451"/>
    </row>
    <row r="606" spans="8:19">
      <c r="H606" s="357"/>
      <c r="I606" s="357"/>
      <c r="J606" s="357"/>
      <c r="K606" s="357"/>
      <c r="L606" s="249"/>
      <c r="M606" s="249"/>
      <c r="N606" s="249"/>
      <c r="O606" s="249"/>
      <c r="P606" s="451"/>
      <c r="Q606" s="451"/>
      <c r="R606" s="451"/>
      <c r="S606" s="451"/>
    </row>
    <row r="607" spans="8:19">
      <c r="H607" s="357"/>
      <c r="I607" s="357"/>
      <c r="J607" s="357"/>
      <c r="K607" s="357"/>
      <c r="L607" s="249"/>
      <c r="M607" s="249"/>
      <c r="N607" s="249"/>
      <c r="O607" s="249"/>
      <c r="P607" s="451"/>
      <c r="Q607" s="451"/>
      <c r="R607" s="451"/>
      <c r="S607" s="451"/>
    </row>
    <row r="608" spans="8:19">
      <c r="H608" s="357"/>
      <c r="I608" s="357"/>
      <c r="J608" s="357"/>
      <c r="K608" s="357"/>
      <c r="L608" s="249"/>
      <c r="M608" s="249"/>
      <c r="N608" s="249"/>
      <c r="O608" s="249"/>
      <c r="P608" s="451"/>
      <c r="Q608" s="451"/>
      <c r="R608" s="451"/>
      <c r="S608" s="451"/>
    </row>
    <row r="609" spans="8:19">
      <c r="H609" s="357"/>
      <c r="I609" s="357"/>
      <c r="J609" s="357"/>
      <c r="K609" s="357"/>
      <c r="L609" s="249"/>
      <c r="M609" s="249"/>
      <c r="N609" s="249"/>
      <c r="O609" s="249"/>
      <c r="P609" s="451"/>
      <c r="Q609" s="451"/>
      <c r="R609" s="451"/>
      <c r="S609" s="451"/>
    </row>
    <row r="610" spans="8:19">
      <c r="H610" s="357"/>
      <c r="I610" s="357"/>
      <c r="J610" s="357"/>
      <c r="K610" s="357"/>
      <c r="L610" s="249"/>
      <c r="M610" s="249"/>
      <c r="N610" s="249"/>
      <c r="O610" s="249"/>
      <c r="P610" s="451"/>
      <c r="Q610" s="451"/>
      <c r="R610" s="451"/>
      <c r="S610" s="451"/>
    </row>
    <row r="611" spans="8:19">
      <c r="H611" s="357"/>
      <c r="I611" s="357"/>
      <c r="J611" s="357"/>
      <c r="K611" s="357"/>
      <c r="L611" s="249"/>
      <c r="M611" s="249"/>
      <c r="N611" s="249"/>
      <c r="O611" s="249"/>
      <c r="P611" s="451"/>
      <c r="Q611" s="451"/>
      <c r="R611" s="451"/>
      <c r="S611" s="451"/>
    </row>
    <row r="612" spans="8:19">
      <c r="H612" s="357"/>
      <c r="I612" s="357"/>
      <c r="J612" s="357"/>
      <c r="K612" s="357"/>
      <c r="L612" s="249"/>
      <c r="M612" s="249"/>
      <c r="N612" s="249"/>
      <c r="O612" s="249"/>
      <c r="P612" s="451"/>
      <c r="Q612" s="451"/>
      <c r="R612" s="451"/>
      <c r="S612" s="451"/>
    </row>
    <row r="613" spans="8:19">
      <c r="H613" s="357"/>
      <c r="I613" s="357"/>
      <c r="J613" s="357"/>
      <c r="K613" s="357"/>
      <c r="L613" s="249"/>
      <c r="M613" s="249"/>
      <c r="N613" s="249"/>
      <c r="O613" s="249"/>
      <c r="P613" s="451"/>
      <c r="Q613" s="451"/>
      <c r="R613" s="451"/>
      <c r="S613" s="451"/>
    </row>
    <row r="614" spans="8:19">
      <c r="H614" s="357"/>
      <c r="I614" s="357"/>
      <c r="J614" s="357"/>
      <c r="K614" s="357"/>
      <c r="L614" s="249"/>
      <c r="M614" s="249"/>
      <c r="N614" s="249"/>
      <c r="O614" s="249"/>
      <c r="P614" s="451"/>
      <c r="Q614" s="451"/>
      <c r="R614" s="451"/>
      <c r="S614" s="451"/>
    </row>
    <row r="615" spans="8:19">
      <c r="H615" s="357"/>
      <c r="I615" s="357"/>
      <c r="J615" s="357"/>
      <c r="K615" s="357"/>
      <c r="L615" s="249"/>
      <c r="M615" s="249"/>
      <c r="N615" s="249"/>
      <c r="O615" s="249"/>
      <c r="P615" s="451"/>
      <c r="Q615" s="451"/>
      <c r="R615" s="451"/>
      <c r="S615" s="451"/>
    </row>
    <row r="616" spans="8:19">
      <c r="H616" s="357"/>
      <c r="I616" s="357"/>
      <c r="J616" s="357"/>
      <c r="K616" s="357"/>
      <c r="L616" s="249"/>
      <c r="M616" s="249"/>
      <c r="N616" s="249"/>
      <c r="O616" s="249"/>
      <c r="P616" s="451"/>
      <c r="Q616" s="451"/>
      <c r="R616" s="451"/>
      <c r="S616" s="451"/>
    </row>
    <row r="617" spans="8:19">
      <c r="H617" s="357"/>
      <c r="I617" s="357"/>
      <c r="J617" s="357"/>
      <c r="K617" s="357"/>
      <c r="L617" s="249"/>
      <c r="M617" s="249"/>
      <c r="N617" s="249"/>
      <c r="O617" s="249"/>
      <c r="P617" s="451"/>
      <c r="Q617" s="451"/>
      <c r="R617" s="451"/>
      <c r="S617" s="451"/>
    </row>
    <row r="618" spans="8:19">
      <c r="H618" s="357"/>
      <c r="I618" s="357"/>
      <c r="J618" s="357"/>
      <c r="K618" s="357"/>
      <c r="L618" s="249"/>
      <c r="M618" s="249"/>
      <c r="N618" s="249"/>
      <c r="O618" s="249"/>
      <c r="P618" s="451"/>
      <c r="Q618" s="451"/>
      <c r="R618" s="451"/>
      <c r="S618" s="451"/>
    </row>
    <row r="619" spans="8:19">
      <c r="H619" s="357"/>
      <c r="I619" s="357"/>
      <c r="J619" s="357"/>
      <c r="K619" s="357"/>
      <c r="L619" s="249"/>
      <c r="M619" s="249"/>
      <c r="N619" s="249"/>
      <c r="O619" s="249"/>
      <c r="P619" s="451"/>
      <c r="Q619" s="451"/>
      <c r="R619" s="451"/>
      <c r="S619" s="451"/>
    </row>
    <row r="620" spans="8:19">
      <c r="H620" s="357"/>
      <c r="I620" s="357"/>
      <c r="J620" s="357"/>
      <c r="K620" s="357"/>
      <c r="L620" s="249"/>
      <c r="M620" s="249"/>
      <c r="N620" s="249"/>
      <c r="O620" s="249"/>
      <c r="P620" s="451"/>
      <c r="Q620" s="451"/>
      <c r="R620" s="451"/>
      <c r="S620" s="451"/>
    </row>
    <row r="621" spans="8:19">
      <c r="H621" s="357"/>
      <c r="I621" s="357"/>
      <c r="J621" s="357"/>
      <c r="K621" s="357"/>
      <c r="L621" s="249"/>
      <c r="M621" s="249"/>
      <c r="N621" s="249"/>
      <c r="O621" s="249"/>
      <c r="P621" s="451"/>
      <c r="Q621" s="451"/>
      <c r="R621" s="451"/>
      <c r="S621" s="451"/>
    </row>
    <row r="622" spans="8:19">
      <c r="H622" s="357"/>
      <c r="I622" s="357"/>
      <c r="J622" s="357"/>
      <c r="K622" s="357"/>
      <c r="L622" s="249"/>
      <c r="M622" s="249"/>
      <c r="N622" s="249"/>
      <c r="O622" s="249"/>
      <c r="P622" s="451"/>
      <c r="Q622" s="451"/>
      <c r="R622" s="451"/>
      <c r="S622" s="451"/>
    </row>
    <row r="623" spans="8:19">
      <c r="H623" s="357"/>
      <c r="I623" s="357"/>
      <c r="J623" s="357"/>
      <c r="K623" s="357"/>
      <c r="L623" s="249"/>
      <c r="M623" s="249"/>
      <c r="N623" s="249"/>
      <c r="O623" s="249"/>
      <c r="P623" s="451"/>
      <c r="Q623" s="451"/>
      <c r="R623" s="451"/>
      <c r="S623" s="451"/>
    </row>
    <row r="624" spans="8:19">
      <c r="H624" s="357"/>
      <c r="I624" s="357"/>
      <c r="J624" s="357"/>
      <c r="K624" s="357"/>
      <c r="L624" s="249"/>
      <c r="M624" s="249"/>
      <c r="N624" s="249"/>
      <c r="O624" s="249"/>
      <c r="P624" s="451"/>
      <c r="Q624" s="451"/>
      <c r="R624" s="451"/>
      <c r="S624" s="451"/>
    </row>
    <row r="625" spans="8:19">
      <c r="H625" s="357"/>
      <c r="I625" s="357"/>
      <c r="J625" s="357"/>
      <c r="K625" s="357"/>
      <c r="L625" s="249"/>
      <c r="M625" s="249"/>
      <c r="N625" s="249"/>
      <c r="O625" s="249"/>
      <c r="P625" s="451"/>
      <c r="Q625" s="451"/>
      <c r="R625" s="451"/>
      <c r="S625" s="451"/>
    </row>
    <row r="626" spans="8:19">
      <c r="H626" s="357"/>
      <c r="I626" s="357"/>
      <c r="J626" s="357"/>
      <c r="K626" s="357"/>
      <c r="L626" s="249"/>
      <c r="M626" s="249"/>
      <c r="N626" s="249"/>
      <c r="O626" s="249"/>
      <c r="P626" s="451"/>
      <c r="Q626" s="451"/>
      <c r="R626" s="451"/>
      <c r="S626" s="451"/>
    </row>
    <row r="627" spans="8:19">
      <c r="H627" s="357"/>
      <c r="I627" s="357"/>
      <c r="J627" s="357"/>
      <c r="K627" s="357"/>
      <c r="L627" s="249"/>
      <c r="M627" s="249"/>
      <c r="N627" s="249"/>
      <c r="O627" s="249"/>
      <c r="P627" s="451"/>
      <c r="Q627" s="451"/>
      <c r="R627" s="451"/>
      <c r="S627" s="451"/>
    </row>
    <row r="628" spans="8:19">
      <c r="H628" s="357"/>
      <c r="I628" s="357"/>
      <c r="J628" s="357"/>
      <c r="K628" s="357"/>
      <c r="L628" s="249"/>
      <c r="M628" s="249"/>
      <c r="N628" s="249"/>
      <c r="O628" s="249"/>
      <c r="P628" s="451"/>
      <c r="Q628" s="451"/>
      <c r="R628" s="451"/>
      <c r="S628" s="451"/>
    </row>
    <row r="629" spans="8:19">
      <c r="H629" s="357"/>
      <c r="I629" s="357"/>
      <c r="J629" s="357"/>
      <c r="K629" s="357"/>
      <c r="L629" s="249"/>
      <c r="M629" s="249"/>
      <c r="N629" s="249"/>
      <c r="O629" s="249"/>
      <c r="P629" s="451"/>
      <c r="Q629" s="451"/>
      <c r="R629" s="451"/>
      <c r="S629" s="451"/>
    </row>
    <row r="630" spans="8:19">
      <c r="H630" s="357"/>
      <c r="I630" s="357"/>
      <c r="J630" s="357"/>
      <c r="K630" s="357"/>
      <c r="L630" s="249"/>
      <c r="M630" s="249"/>
      <c r="N630" s="249"/>
      <c r="O630" s="249"/>
      <c r="P630" s="451"/>
      <c r="Q630" s="451"/>
      <c r="R630" s="451"/>
      <c r="S630" s="451"/>
    </row>
    <row r="631" spans="8:19">
      <c r="H631" s="357"/>
      <c r="I631" s="357"/>
      <c r="J631" s="357"/>
      <c r="K631" s="357"/>
      <c r="L631" s="249"/>
      <c r="M631" s="249"/>
      <c r="N631" s="249"/>
      <c r="O631" s="249"/>
      <c r="P631" s="451"/>
      <c r="Q631" s="451"/>
      <c r="R631" s="451"/>
      <c r="S631" s="451"/>
    </row>
    <row r="632" spans="8:19">
      <c r="H632" s="357"/>
      <c r="I632" s="357"/>
      <c r="J632" s="357"/>
      <c r="K632" s="357"/>
      <c r="L632" s="249"/>
      <c r="M632" s="249"/>
      <c r="N632" s="249"/>
      <c r="O632" s="249"/>
      <c r="P632" s="451"/>
      <c r="Q632" s="451"/>
      <c r="R632" s="451"/>
      <c r="S632" s="451"/>
    </row>
    <row r="633" spans="8:19">
      <c r="H633" s="357"/>
      <c r="I633" s="357"/>
      <c r="J633" s="357"/>
      <c r="K633" s="357"/>
      <c r="L633" s="249"/>
      <c r="M633" s="249"/>
      <c r="N633" s="249"/>
      <c r="O633" s="249"/>
      <c r="P633" s="451"/>
      <c r="Q633" s="451"/>
      <c r="R633" s="451"/>
      <c r="S633" s="451"/>
    </row>
    <row r="634" spans="8:19">
      <c r="H634" s="357"/>
      <c r="I634" s="357"/>
      <c r="J634" s="357"/>
      <c r="K634" s="357"/>
      <c r="L634" s="249"/>
      <c r="M634" s="249"/>
      <c r="N634" s="249"/>
      <c r="O634" s="249"/>
      <c r="P634" s="451"/>
      <c r="Q634" s="451"/>
      <c r="R634" s="451"/>
      <c r="S634" s="451"/>
    </row>
    <row r="635" spans="8:19">
      <c r="H635" s="357"/>
      <c r="I635" s="357"/>
      <c r="J635" s="357"/>
      <c r="K635" s="357"/>
      <c r="L635" s="249"/>
      <c r="M635" s="249"/>
      <c r="N635" s="249"/>
      <c r="O635" s="249"/>
      <c r="P635" s="451"/>
      <c r="Q635" s="451"/>
      <c r="R635" s="451"/>
      <c r="S635" s="451"/>
    </row>
    <row r="636" spans="8:19">
      <c r="H636" s="357"/>
      <c r="I636" s="357"/>
      <c r="J636" s="357"/>
      <c r="K636" s="357"/>
      <c r="L636" s="249"/>
      <c r="M636" s="249"/>
      <c r="N636" s="249"/>
      <c r="O636" s="249"/>
      <c r="P636" s="451"/>
      <c r="Q636" s="451"/>
      <c r="R636" s="451"/>
      <c r="S636" s="451"/>
    </row>
    <row r="637" spans="8:19">
      <c r="H637" s="357"/>
      <c r="I637" s="357"/>
      <c r="J637" s="357"/>
      <c r="K637" s="357"/>
      <c r="L637" s="249"/>
      <c r="M637" s="249"/>
      <c r="N637" s="249"/>
      <c r="O637" s="249"/>
      <c r="P637" s="451"/>
      <c r="Q637" s="451"/>
      <c r="R637" s="451"/>
      <c r="S637" s="451"/>
    </row>
    <row r="638" spans="8:19">
      <c r="H638" s="357"/>
      <c r="I638" s="357"/>
      <c r="J638" s="357"/>
      <c r="K638" s="357"/>
      <c r="L638" s="249"/>
      <c r="M638" s="249"/>
      <c r="N638" s="249"/>
      <c r="O638" s="249"/>
      <c r="P638" s="451"/>
      <c r="Q638" s="451"/>
      <c r="R638" s="451"/>
      <c r="S638" s="451"/>
    </row>
    <row r="639" spans="8:19">
      <c r="H639" s="357"/>
      <c r="I639" s="357"/>
      <c r="J639" s="357"/>
      <c r="K639" s="357"/>
      <c r="L639" s="249"/>
      <c r="M639" s="249"/>
      <c r="N639" s="249"/>
      <c r="O639" s="249"/>
      <c r="P639" s="451"/>
      <c r="Q639" s="451"/>
      <c r="R639" s="451"/>
      <c r="S639" s="451"/>
    </row>
    <row r="640" spans="8:19">
      <c r="H640" s="357"/>
      <c r="I640" s="357"/>
      <c r="J640" s="357"/>
      <c r="K640" s="357"/>
      <c r="L640" s="249"/>
      <c r="M640" s="249"/>
      <c r="N640" s="249"/>
      <c r="O640" s="249"/>
      <c r="P640" s="451"/>
      <c r="Q640" s="451"/>
      <c r="R640" s="451"/>
      <c r="S640" s="451"/>
    </row>
    <row r="641" spans="8:19">
      <c r="H641" s="357"/>
      <c r="I641" s="357"/>
      <c r="J641" s="357"/>
      <c r="K641" s="357"/>
      <c r="L641" s="249"/>
      <c r="M641" s="249"/>
      <c r="N641" s="249"/>
      <c r="O641" s="249"/>
      <c r="P641" s="451"/>
      <c r="Q641" s="451"/>
      <c r="R641" s="451"/>
      <c r="S641" s="451"/>
    </row>
    <row r="642" spans="8:19">
      <c r="H642" s="357"/>
      <c r="I642" s="357"/>
      <c r="J642" s="357"/>
      <c r="K642" s="357"/>
      <c r="L642" s="249"/>
      <c r="M642" s="249"/>
      <c r="N642" s="249"/>
      <c r="O642" s="249"/>
      <c r="P642" s="451"/>
      <c r="Q642" s="451"/>
      <c r="R642" s="451"/>
      <c r="S642" s="451"/>
    </row>
    <row r="643" spans="8:19">
      <c r="H643" s="357"/>
      <c r="I643" s="357"/>
      <c r="J643" s="357"/>
      <c r="K643" s="357"/>
      <c r="L643" s="249"/>
      <c r="M643" s="249"/>
      <c r="N643" s="249"/>
      <c r="O643" s="249"/>
      <c r="P643" s="451"/>
      <c r="Q643" s="451"/>
      <c r="R643" s="451"/>
      <c r="S643" s="451"/>
    </row>
    <row r="644" spans="8:19">
      <c r="H644" s="357"/>
      <c r="I644" s="357"/>
      <c r="J644" s="357"/>
      <c r="K644" s="357"/>
      <c r="L644" s="249"/>
      <c r="M644" s="249"/>
      <c r="N644" s="249"/>
      <c r="O644" s="249"/>
      <c r="P644" s="451"/>
      <c r="Q644" s="451"/>
      <c r="R644" s="451"/>
      <c r="S644" s="451"/>
    </row>
    <row r="645" spans="8:19">
      <c r="H645" s="357"/>
      <c r="I645" s="357"/>
      <c r="J645" s="357"/>
      <c r="K645" s="357"/>
      <c r="L645" s="249"/>
      <c r="M645" s="249"/>
      <c r="N645" s="249"/>
      <c r="O645" s="249"/>
      <c r="P645" s="451"/>
      <c r="Q645" s="451"/>
      <c r="R645" s="451"/>
      <c r="S645" s="451"/>
    </row>
    <row r="646" spans="8:19">
      <c r="H646" s="357"/>
      <c r="I646" s="357"/>
      <c r="J646" s="357"/>
      <c r="K646" s="357"/>
      <c r="L646" s="249"/>
      <c r="M646" s="249"/>
      <c r="N646" s="249"/>
      <c r="O646" s="249"/>
      <c r="P646" s="451"/>
      <c r="Q646" s="451"/>
      <c r="R646" s="451"/>
      <c r="S646" s="451"/>
    </row>
    <row r="647" spans="8:19">
      <c r="H647" s="357"/>
      <c r="I647" s="357"/>
      <c r="J647" s="357"/>
      <c r="K647" s="357"/>
      <c r="L647" s="249"/>
      <c r="M647" s="249"/>
      <c r="N647" s="249"/>
      <c r="O647" s="249"/>
      <c r="P647" s="451"/>
      <c r="Q647" s="451"/>
      <c r="R647" s="451"/>
      <c r="S647" s="451"/>
    </row>
    <row r="648" spans="8:19">
      <c r="H648" s="357"/>
      <c r="I648" s="357"/>
      <c r="J648" s="357"/>
      <c r="K648" s="357"/>
      <c r="L648" s="249"/>
      <c r="M648" s="249"/>
      <c r="N648" s="249"/>
      <c r="O648" s="249"/>
      <c r="P648" s="451"/>
      <c r="Q648" s="451"/>
      <c r="R648" s="451"/>
      <c r="S648" s="451"/>
    </row>
    <row r="649" spans="8:19">
      <c r="H649" s="357"/>
      <c r="I649" s="357"/>
      <c r="J649" s="357"/>
      <c r="K649" s="357"/>
      <c r="L649" s="249"/>
      <c r="M649" s="249"/>
      <c r="N649" s="249"/>
      <c r="O649" s="249"/>
      <c r="P649" s="451"/>
      <c r="Q649" s="451"/>
      <c r="R649" s="451"/>
      <c r="S649" s="451"/>
    </row>
    <row r="650" spans="8:19">
      <c r="H650" s="357"/>
      <c r="I650" s="357"/>
      <c r="J650" s="357"/>
      <c r="K650" s="357"/>
      <c r="L650" s="249"/>
      <c r="M650" s="249"/>
      <c r="N650" s="249"/>
      <c r="O650" s="249"/>
      <c r="P650" s="451"/>
      <c r="Q650" s="451"/>
      <c r="R650" s="451"/>
      <c r="S650" s="451"/>
    </row>
    <row r="651" spans="8:19">
      <c r="H651" s="357"/>
      <c r="I651" s="357"/>
      <c r="J651" s="357"/>
      <c r="K651" s="357"/>
      <c r="L651" s="249"/>
      <c r="M651" s="249"/>
      <c r="N651" s="249"/>
      <c r="O651" s="249"/>
      <c r="P651" s="451"/>
      <c r="Q651" s="451"/>
      <c r="R651" s="451"/>
      <c r="S651" s="451"/>
    </row>
    <row r="652" spans="8:19">
      <c r="H652" s="357"/>
      <c r="I652" s="357"/>
      <c r="J652" s="357"/>
      <c r="K652" s="357"/>
      <c r="L652" s="249"/>
      <c r="M652" s="249"/>
      <c r="N652" s="249"/>
      <c r="O652" s="249"/>
      <c r="P652" s="451"/>
      <c r="Q652" s="451"/>
      <c r="R652" s="451"/>
      <c r="S652" s="451"/>
    </row>
    <row r="653" spans="8:19">
      <c r="H653" s="357"/>
      <c r="I653" s="357"/>
      <c r="J653" s="357"/>
      <c r="K653" s="357"/>
      <c r="L653" s="249"/>
      <c r="M653" s="249"/>
      <c r="N653" s="249"/>
      <c r="O653" s="249"/>
      <c r="P653" s="451"/>
      <c r="Q653" s="451"/>
      <c r="R653" s="451"/>
      <c r="S653" s="451"/>
    </row>
    <row r="654" spans="8:19">
      <c r="H654" s="357"/>
      <c r="I654" s="357"/>
      <c r="J654" s="357"/>
      <c r="K654" s="357"/>
      <c r="L654" s="249"/>
      <c r="M654" s="249"/>
      <c r="N654" s="249"/>
      <c r="O654" s="249"/>
      <c r="P654" s="451"/>
      <c r="Q654" s="451"/>
      <c r="R654" s="451"/>
      <c r="S654" s="451"/>
    </row>
    <row r="655" spans="8:19">
      <c r="H655" s="357"/>
      <c r="I655" s="357"/>
      <c r="J655" s="357"/>
      <c r="K655" s="357"/>
      <c r="L655" s="249"/>
      <c r="M655" s="249"/>
      <c r="N655" s="249"/>
      <c r="O655" s="249"/>
      <c r="P655" s="451"/>
      <c r="Q655" s="451"/>
      <c r="R655" s="451"/>
      <c r="S655" s="451"/>
    </row>
    <row r="656" spans="8:19">
      <c r="H656" s="357"/>
      <c r="I656" s="357"/>
      <c r="J656" s="357"/>
      <c r="K656" s="357"/>
      <c r="L656" s="249"/>
      <c r="M656" s="249"/>
      <c r="N656" s="249"/>
      <c r="O656" s="249"/>
      <c r="P656" s="451"/>
      <c r="Q656" s="451"/>
      <c r="R656" s="451"/>
      <c r="S656" s="451"/>
    </row>
    <row r="657" spans="8:19">
      <c r="H657" s="357"/>
      <c r="I657" s="357"/>
      <c r="J657" s="357"/>
      <c r="K657" s="357"/>
      <c r="L657" s="249"/>
      <c r="M657" s="249"/>
      <c r="N657" s="249"/>
      <c r="O657" s="249"/>
      <c r="P657" s="451"/>
      <c r="Q657" s="451"/>
      <c r="R657" s="451"/>
      <c r="S657" s="451"/>
    </row>
    <row r="658" spans="8:19">
      <c r="H658" s="357"/>
      <c r="I658" s="357"/>
      <c r="J658" s="357"/>
      <c r="K658" s="357"/>
      <c r="L658" s="249"/>
      <c r="M658" s="249"/>
      <c r="N658" s="249"/>
      <c r="O658" s="249"/>
      <c r="P658" s="451"/>
      <c r="Q658" s="451"/>
      <c r="R658" s="451"/>
      <c r="S658" s="451"/>
    </row>
    <row r="659" spans="8:19">
      <c r="H659" s="357"/>
      <c r="I659" s="357"/>
      <c r="J659" s="357"/>
      <c r="K659" s="357"/>
      <c r="L659" s="249"/>
      <c r="M659" s="249"/>
      <c r="N659" s="249"/>
      <c r="O659" s="249"/>
      <c r="P659" s="451"/>
      <c r="Q659" s="451"/>
      <c r="R659" s="451"/>
      <c r="S659" s="451"/>
    </row>
    <row r="660" spans="8:19">
      <c r="H660" s="357"/>
      <c r="I660" s="357"/>
      <c r="J660" s="357"/>
      <c r="K660" s="357"/>
      <c r="L660" s="249"/>
      <c r="M660" s="249"/>
      <c r="N660" s="249"/>
      <c r="O660" s="249"/>
      <c r="P660" s="451"/>
      <c r="Q660" s="451"/>
      <c r="R660" s="451"/>
      <c r="S660" s="451"/>
    </row>
    <row r="661" spans="8:19">
      <c r="H661" s="357"/>
      <c r="I661" s="357"/>
      <c r="J661" s="357"/>
      <c r="K661" s="357"/>
      <c r="L661" s="249"/>
      <c r="M661" s="249"/>
      <c r="N661" s="249"/>
      <c r="O661" s="249"/>
      <c r="P661" s="451"/>
      <c r="Q661" s="451"/>
      <c r="R661" s="451"/>
      <c r="S661" s="451"/>
    </row>
    <row r="662" spans="8:19">
      <c r="H662" s="357"/>
      <c r="I662" s="357"/>
      <c r="J662" s="357"/>
      <c r="K662" s="357"/>
      <c r="L662" s="249"/>
      <c r="M662" s="249"/>
      <c r="N662" s="249"/>
      <c r="O662" s="249"/>
      <c r="P662" s="451"/>
      <c r="Q662" s="451"/>
      <c r="R662" s="451"/>
      <c r="S662" s="451"/>
    </row>
    <row r="663" spans="8:19">
      <c r="H663" s="357"/>
      <c r="I663" s="357"/>
      <c r="J663" s="357"/>
      <c r="K663" s="357"/>
      <c r="L663" s="249"/>
      <c r="M663" s="249"/>
      <c r="N663" s="249"/>
      <c r="O663" s="249"/>
      <c r="P663" s="451"/>
      <c r="Q663" s="451"/>
      <c r="R663" s="451"/>
      <c r="S663" s="451"/>
    </row>
    <row r="664" spans="8:19">
      <c r="H664" s="357"/>
      <c r="I664" s="357"/>
      <c r="J664" s="357"/>
      <c r="K664" s="357"/>
      <c r="L664" s="249"/>
      <c r="M664" s="249"/>
      <c r="N664" s="249"/>
      <c r="O664" s="249"/>
      <c r="P664" s="451"/>
      <c r="Q664" s="451"/>
      <c r="R664" s="451"/>
      <c r="S664" s="451"/>
    </row>
    <row r="665" spans="8:19">
      <c r="H665" s="357"/>
      <c r="I665" s="357"/>
      <c r="J665" s="357"/>
      <c r="K665" s="357"/>
      <c r="L665" s="249"/>
      <c r="M665" s="249"/>
      <c r="N665" s="249"/>
      <c r="O665" s="249"/>
      <c r="P665" s="451"/>
      <c r="Q665" s="451"/>
      <c r="R665" s="451"/>
      <c r="S665" s="451"/>
    </row>
    <row r="666" spans="8:19">
      <c r="H666" s="357"/>
      <c r="I666" s="357"/>
      <c r="J666" s="357"/>
      <c r="K666" s="357"/>
      <c r="L666" s="249"/>
      <c r="M666" s="249"/>
      <c r="N666" s="249"/>
      <c r="O666" s="249"/>
      <c r="P666" s="451"/>
      <c r="Q666" s="451"/>
      <c r="R666" s="451"/>
      <c r="S666" s="451"/>
    </row>
    <row r="667" spans="8:19">
      <c r="H667" s="357"/>
      <c r="I667" s="357"/>
      <c r="J667" s="357"/>
      <c r="K667" s="357"/>
      <c r="L667" s="249"/>
      <c r="M667" s="249"/>
      <c r="N667" s="249"/>
      <c r="O667" s="249"/>
      <c r="P667" s="451"/>
      <c r="Q667" s="451"/>
      <c r="R667" s="451"/>
      <c r="S667" s="451"/>
    </row>
    <row r="668" spans="8:19">
      <c r="H668" s="357"/>
      <c r="I668" s="357"/>
      <c r="J668" s="357"/>
      <c r="K668" s="357"/>
      <c r="L668" s="249"/>
      <c r="M668" s="249"/>
      <c r="N668" s="249"/>
      <c r="O668" s="249"/>
      <c r="P668" s="451"/>
      <c r="Q668" s="451"/>
      <c r="R668" s="451"/>
      <c r="S668" s="451"/>
    </row>
    <row r="669" spans="8:19">
      <c r="H669" s="357"/>
      <c r="I669" s="357"/>
      <c r="J669" s="357"/>
      <c r="K669" s="357"/>
      <c r="L669" s="249"/>
      <c r="M669" s="249"/>
      <c r="N669" s="249"/>
      <c r="O669" s="249"/>
      <c r="P669" s="451"/>
      <c r="Q669" s="451"/>
      <c r="R669" s="451"/>
      <c r="S669" s="451"/>
    </row>
    <row r="670" spans="8:19">
      <c r="H670" s="357"/>
      <c r="I670" s="357"/>
      <c r="J670" s="357"/>
      <c r="K670" s="357"/>
      <c r="L670" s="249"/>
      <c r="M670" s="249"/>
      <c r="N670" s="249"/>
      <c r="O670" s="249"/>
      <c r="P670" s="451"/>
      <c r="Q670" s="451"/>
      <c r="R670" s="451"/>
      <c r="S670" s="451"/>
    </row>
    <row r="671" spans="8:19">
      <c r="H671" s="357"/>
      <c r="I671" s="357"/>
      <c r="J671" s="357"/>
      <c r="K671" s="357"/>
      <c r="L671" s="249"/>
      <c r="M671" s="249"/>
      <c r="N671" s="249"/>
      <c r="O671" s="249"/>
      <c r="P671" s="451"/>
      <c r="Q671" s="451"/>
      <c r="R671" s="451"/>
      <c r="S671" s="451"/>
    </row>
    <row r="672" spans="8:19">
      <c r="H672" s="357"/>
      <c r="I672" s="357"/>
      <c r="J672" s="357"/>
      <c r="K672" s="357"/>
      <c r="L672" s="249"/>
      <c r="M672" s="249"/>
      <c r="N672" s="249"/>
      <c r="O672" s="249"/>
      <c r="P672" s="451"/>
      <c r="Q672" s="451"/>
      <c r="R672" s="451"/>
      <c r="S672" s="451"/>
    </row>
    <row r="673" spans="8:19">
      <c r="H673" s="357"/>
      <c r="I673" s="357"/>
      <c r="J673" s="357"/>
      <c r="K673" s="357"/>
      <c r="L673" s="249"/>
      <c r="M673" s="249"/>
      <c r="N673" s="249"/>
      <c r="O673" s="249"/>
      <c r="P673" s="451"/>
      <c r="Q673" s="451"/>
      <c r="R673" s="451"/>
      <c r="S673" s="451"/>
    </row>
    <row r="674" spans="8:19">
      <c r="H674" s="357"/>
      <c r="I674" s="357"/>
      <c r="J674" s="357"/>
      <c r="K674" s="357"/>
      <c r="L674" s="249"/>
      <c r="M674" s="249"/>
      <c r="N674" s="249"/>
      <c r="O674" s="249"/>
      <c r="P674" s="451"/>
      <c r="Q674" s="451"/>
      <c r="R674" s="451"/>
      <c r="S674" s="451"/>
    </row>
    <row r="675" spans="8:19">
      <c r="H675" s="357"/>
      <c r="I675" s="357"/>
      <c r="J675" s="357"/>
      <c r="K675" s="357"/>
      <c r="L675" s="249"/>
      <c r="M675" s="249"/>
      <c r="N675" s="249"/>
      <c r="O675" s="249"/>
      <c r="P675" s="451"/>
      <c r="Q675" s="451"/>
      <c r="R675" s="451"/>
      <c r="S675" s="451"/>
    </row>
    <row r="676" spans="8:19">
      <c r="H676" s="357"/>
      <c r="I676" s="357"/>
      <c r="J676" s="357"/>
      <c r="K676" s="357"/>
      <c r="L676" s="249"/>
      <c r="M676" s="249"/>
      <c r="N676" s="249"/>
      <c r="O676" s="249"/>
      <c r="P676" s="451"/>
      <c r="Q676" s="451"/>
      <c r="R676" s="451"/>
      <c r="S676" s="451"/>
    </row>
    <row r="677" spans="8:19">
      <c r="H677" s="357"/>
      <c r="I677" s="357"/>
      <c r="J677" s="357"/>
      <c r="K677" s="357"/>
      <c r="L677" s="249"/>
      <c r="M677" s="249"/>
      <c r="N677" s="249"/>
      <c r="O677" s="249"/>
      <c r="P677" s="451"/>
      <c r="Q677" s="451"/>
      <c r="R677" s="451"/>
      <c r="S677" s="451"/>
    </row>
    <row r="678" spans="8:19">
      <c r="H678" s="357"/>
      <c r="I678" s="357"/>
      <c r="J678" s="357"/>
      <c r="K678" s="357"/>
      <c r="L678" s="249"/>
      <c r="M678" s="249"/>
      <c r="N678" s="249"/>
      <c r="O678" s="249"/>
      <c r="P678" s="451"/>
      <c r="Q678" s="451"/>
      <c r="R678" s="451"/>
      <c r="S678" s="451"/>
    </row>
    <row r="679" spans="8:19">
      <c r="H679" s="357"/>
      <c r="I679" s="357"/>
      <c r="J679" s="357"/>
      <c r="K679" s="357"/>
      <c r="L679" s="249"/>
      <c r="M679" s="249"/>
      <c r="N679" s="249"/>
      <c r="O679" s="249"/>
      <c r="P679" s="451"/>
      <c r="Q679" s="451"/>
      <c r="R679" s="451"/>
      <c r="S679" s="451"/>
    </row>
    <row r="680" spans="8:19">
      <c r="H680" s="357"/>
      <c r="I680" s="357"/>
      <c r="J680" s="357"/>
      <c r="K680" s="357"/>
      <c r="L680" s="249"/>
      <c r="M680" s="249"/>
      <c r="N680" s="249"/>
      <c r="O680" s="249"/>
      <c r="P680" s="451"/>
      <c r="Q680" s="451"/>
      <c r="R680" s="451"/>
      <c r="S680" s="451"/>
    </row>
    <row r="681" spans="8:19">
      <c r="H681" s="357"/>
      <c r="I681" s="357"/>
      <c r="J681" s="357"/>
      <c r="K681" s="357"/>
      <c r="L681" s="249"/>
      <c r="M681" s="249"/>
      <c r="N681" s="249"/>
      <c r="O681" s="249"/>
      <c r="P681" s="451"/>
      <c r="Q681" s="451"/>
      <c r="R681" s="451"/>
      <c r="S681" s="451"/>
    </row>
    <row r="682" spans="8:19">
      <c r="H682" s="357"/>
      <c r="I682" s="357"/>
      <c r="J682" s="357"/>
      <c r="K682" s="357"/>
      <c r="L682" s="249"/>
      <c r="M682" s="249"/>
      <c r="N682" s="249"/>
      <c r="O682" s="249"/>
      <c r="P682" s="451"/>
      <c r="Q682" s="451"/>
      <c r="R682" s="451"/>
      <c r="S682" s="451"/>
    </row>
    <row r="683" spans="8:19">
      <c r="H683" s="357"/>
      <c r="I683" s="357"/>
      <c r="J683" s="357"/>
      <c r="K683" s="357"/>
      <c r="L683" s="249"/>
      <c r="M683" s="249"/>
      <c r="N683" s="249"/>
      <c r="O683" s="249"/>
      <c r="P683" s="451"/>
      <c r="Q683" s="451"/>
      <c r="R683" s="451"/>
      <c r="S683" s="451"/>
    </row>
    <row r="684" spans="8:19">
      <c r="H684" s="357"/>
      <c r="I684" s="357"/>
      <c r="J684" s="357"/>
      <c r="K684" s="357"/>
      <c r="L684" s="249"/>
      <c r="M684" s="249"/>
      <c r="N684" s="249"/>
      <c r="O684" s="249"/>
      <c r="P684" s="451"/>
      <c r="Q684" s="451"/>
      <c r="R684" s="451"/>
      <c r="S684" s="451"/>
    </row>
    <row r="685" spans="8:19">
      <c r="H685" s="357"/>
      <c r="I685" s="357"/>
      <c r="J685" s="357"/>
      <c r="K685" s="357"/>
      <c r="L685" s="249"/>
      <c r="M685" s="249"/>
      <c r="N685" s="249"/>
      <c r="O685" s="249"/>
      <c r="P685" s="451"/>
      <c r="Q685" s="451"/>
      <c r="R685" s="451"/>
      <c r="S685" s="451"/>
    </row>
    <row r="686" spans="8:19">
      <c r="H686" s="357"/>
      <c r="I686" s="357"/>
      <c r="J686" s="357"/>
      <c r="K686" s="357"/>
      <c r="L686" s="249"/>
      <c r="M686" s="249"/>
      <c r="N686" s="249"/>
      <c r="O686" s="249"/>
      <c r="P686" s="451"/>
      <c r="Q686" s="451"/>
      <c r="R686" s="451"/>
      <c r="S686" s="451"/>
    </row>
    <row r="687" spans="8:19">
      <c r="H687" s="357"/>
      <c r="I687" s="357"/>
      <c r="J687" s="357"/>
      <c r="K687" s="357"/>
      <c r="L687" s="249"/>
      <c r="M687" s="249"/>
      <c r="N687" s="249"/>
      <c r="O687" s="249"/>
      <c r="P687" s="451"/>
      <c r="Q687" s="451"/>
      <c r="R687" s="451"/>
      <c r="S687" s="451"/>
    </row>
    <row r="688" spans="8:19">
      <c r="H688" s="357"/>
      <c r="I688" s="357"/>
      <c r="J688" s="357"/>
      <c r="K688" s="357"/>
      <c r="L688" s="249"/>
      <c r="M688" s="249"/>
      <c r="N688" s="249"/>
      <c r="O688" s="249"/>
      <c r="P688" s="451"/>
      <c r="Q688" s="451"/>
      <c r="R688" s="451"/>
      <c r="S688" s="451"/>
    </row>
    <row r="689" spans="8:19">
      <c r="H689" s="357"/>
      <c r="I689" s="357"/>
      <c r="J689" s="357"/>
      <c r="K689" s="357"/>
      <c r="L689" s="249"/>
      <c r="M689" s="249"/>
      <c r="N689" s="249"/>
      <c r="O689" s="249"/>
      <c r="P689" s="451"/>
      <c r="Q689" s="451"/>
      <c r="R689" s="451"/>
      <c r="S689" s="451"/>
    </row>
    <row r="690" spans="8:19">
      <c r="H690" s="357"/>
      <c r="I690" s="357"/>
      <c r="J690" s="357"/>
      <c r="K690" s="357"/>
      <c r="L690" s="249"/>
      <c r="M690" s="249"/>
      <c r="N690" s="249"/>
      <c r="O690" s="249"/>
      <c r="P690" s="451"/>
      <c r="Q690" s="451"/>
      <c r="R690" s="451"/>
      <c r="S690" s="451"/>
    </row>
    <row r="691" spans="8:19">
      <c r="H691" s="357"/>
      <c r="I691" s="357"/>
      <c r="J691" s="357"/>
      <c r="K691" s="357"/>
      <c r="L691" s="249"/>
      <c r="M691" s="249"/>
      <c r="N691" s="249"/>
      <c r="O691" s="249"/>
      <c r="P691" s="451"/>
      <c r="Q691" s="451"/>
      <c r="R691" s="451"/>
      <c r="S691" s="451"/>
    </row>
    <row r="692" spans="8:19">
      <c r="H692" s="357"/>
      <c r="I692" s="357"/>
      <c r="J692" s="357"/>
      <c r="K692" s="357"/>
      <c r="L692" s="249"/>
      <c r="M692" s="249"/>
      <c r="N692" s="249"/>
      <c r="O692" s="249"/>
      <c r="P692" s="451"/>
      <c r="Q692" s="451"/>
      <c r="R692" s="451"/>
      <c r="S692" s="451"/>
    </row>
    <row r="693" spans="8:19">
      <c r="H693" s="357"/>
      <c r="I693" s="357"/>
      <c r="J693" s="357"/>
      <c r="K693" s="357"/>
      <c r="L693" s="249"/>
      <c r="M693" s="249"/>
      <c r="N693" s="249"/>
      <c r="O693" s="249"/>
      <c r="P693" s="451"/>
      <c r="Q693" s="451"/>
      <c r="R693" s="451"/>
      <c r="S693" s="451"/>
    </row>
    <row r="694" spans="8:19">
      <c r="H694" s="357"/>
      <c r="I694" s="357"/>
      <c r="J694" s="357"/>
      <c r="K694" s="357"/>
      <c r="L694" s="249"/>
      <c r="M694" s="249"/>
      <c r="N694" s="249"/>
      <c r="O694" s="249"/>
      <c r="P694" s="451"/>
      <c r="Q694" s="451"/>
      <c r="R694" s="451"/>
      <c r="S694" s="451"/>
    </row>
    <row r="695" spans="8:19">
      <c r="H695" s="357"/>
      <c r="I695" s="357"/>
      <c r="J695" s="357"/>
      <c r="K695" s="357"/>
      <c r="L695" s="249"/>
      <c r="M695" s="249"/>
      <c r="N695" s="249"/>
      <c r="O695" s="249"/>
      <c r="P695" s="451"/>
      <c r="Q695" s="451"/>
      <c r="R695" s="451"/>
      <c r="S695" s="451"/>
    </row>
    <row r="696" spans="8:19">
      <c r="H696" s="357"/>
      <c r="I696" s="357"/>
      <c r="J696" s="357"/>
      <c r="K696" s="357"/>
      <c r="L696" s="249"/>
      <c r="M696" s="249"/>
      <c r="N696" s="249"/>
      <c r="O696" s="249"/>
      <c r="P696" s="451"/>
      <c r="Q696" s="451"/>
      <c r="R696" s="451"/>
      <c r="S696" s="451"/>
    </row>
    <row r="697" spans="8:19">
      <c r="H697" s="357"/>
      <c r="I697" s="357"/>
      <c r="J697" s="357"/>
      <c r="K697" s="357"/>
      <c r="L697" s="249"/>
      <c r="M697" s="249"/>
      <c r="N697" s="249"/>
      <c r="O697" s="249"/>
      <c r="P697" s="451"/>
      <c r="Q697" s="451"/>
      <c r="R697" s="451"/>
      <c r="S697" s="451"/>
    </row>
    <row r="698" spans="8:19">
      <c r="H698" s="357"/>
      <c r="I698" s="357"/>
      <c r="J698" s="357"/>
      <c r="K698" s="357"/>
      <c r="L698" s="249"/>
      <c r="M698" s="249"/>
      <c r="N698" s="249"/>
      <c r="O698" s="249"/>
      <c r="P698" s="451"/>
      <c r="Q698" s="451"/>
      <c r="R698" s="451"/>
      <c r="S698" s="451"/>
    </row>
    <row r="699" spans="8:19">
      <c r="H699" s="357"/>
      <c r="I699" s="357"/>
      <c r="J699" s="357"/>
      <c r="K699" s="357"/>
      <c r="L699" s="249"/>
      <c r="M699" s="249"/>
      <c r="N699" s="249"/>
      <c r="O699" s="249"/>
      <c r="P699" s="451"/>
      <c r="Q699" s="451"/>
      <c r="R699" s="451"/>
      <c r="S699" s="451"/>
    </row>
    <row r="700" spans="8:19">
      <c r="H700" s="357"/>
      <c r="I700" s="357"/>
      <c r="J700" s="357"/>
      <c r="K700" s="357"/>
      <c r="L700" s="249"/>
      <c r="M700" s="249"/>
      <c r="N700" s="249"/>
      <c r="O700" s="249"/>
      <c r="P700" s="451"/>
      <c r="Q700" s="451"/>
      <c r="R700" s="451"/>
      <c r="S700" s="451"/>
    </row>
    <row r="701" spans="8:19">
      <c r="H701" s="357"/>
      <c r="I701" s="357"/>
      <c r="J701" s="357"/>
      <c r="K701" s="357"/>
      <c r="L701" s="249"/>
      <c r="M701" s="249"/>
      <c r="N701" s="249"/>
      <c r="O701" s="249"/>
      <c r="P701" s="451"/>
      <c r="Q701" s="451"/>
      <c r="R701" s="451"/>
      <c r="S701" s="451"/>
    </row>
    <row r="702" spans="8:19">
      <c r="H702" s="357"/>
      <c r="I702" s="357"/>
      <c r="J702" s="357"/>
      <c r="K702" s="357"/>
      <c r="L702" s="249"/>
      <c r="M702" s="249"/>
      <c r="N702" s="249"/>
      <c r="O702" s="249"/>
      <c r="P702" s="451"/>
      <c r="Q702" s="451"/>
      <c r="R702" s="451"/>
      <c r="S702" s="451"/>
    </row>
    <row r="703" spans="8:19">
      <c r="H703" s="357"/>
      <c r="I703" s="357"/>
      <c r="J703" s="357"/>
      <c r="K703" s="357"/>
      <c r="L703" s="249"/>
      <c r="M703" s="249"/>
      <c r="N703" s="249"/>
      <c r="O703" s="249"/>
      <c r="P703" s="451"/>
      <c r="Q703" s="451"/>
      <c r="R703" s="451"/>
      <c r="S703" s="451"/>
    </row>
    <row r="704" spans="8:19">
      <c r="H704" s="357"/>
      <c r="I704" s="357"/>
      <c r="J704" s="357"/>
      <c r="K704" s="357"/>
      <c r="L704" s="249"/>
      <c r="M704" s="249"/>
      <c r="N704" s="249"/>
      <c r="O704" s="249"/>
      <c r="P704" s="451"/>
      <c r="Q704" s="451"/>
      <c r="R704" s="451"/>
      <c r="S704" s="451"/>
    </row>
    <row r="705" spans="8:19">
      <c r="H705" s="357"/>
      <c r="I705" s="357"/>
      <c r="J705" s="357"/>
      <c r="K705" s="357"/>
      <c r="L705" s="249"/>
      <c r="M705" s="249"/>
      <c r="N705" s="249"/>
      <c r="O705" s="249"/>
      <c r="P705" s="451"/>
      <c r="Q705" s="451"/>
      <c r="R705" s="451"/>
      <c r="S705" s="451"/>
    </row>
    <row r="706" spans="8:19">
      <c r="H706" s="357"/>
      <c r="I706" s="357"/>
      <c r="J706" s="357"/>
      <c r="K706" s="357"/>
      <c r="L706" s="249"/>
      <c r="M706" s="249"/>
      <c r="N706" s="249"/>
      <c r="O706" s="249"/>
      <c r="P706" s="451"/>
      <c r="Q706" s="451"/>
      <c r="R706" s="451"/>
      <c r="S706" s="451"/>
    </row>
    <row r="707" spans="8:19">
      <c r="H707" s="357"/>
      <c r="I707" s="357"/>
      <c r="J707" s="357"/>
      <c r="K707" s="357"/>
      <c r="L707" s="249"/>
      <c r="M707" s="249"/>
      <c r="N707" s="249"/>
      <c r="O707" s="249"/>
      <c r="P707" s="451"/>
      <c r="Q707" s="451"/>
      <c r="R707" s="451"/>
      <c r="S707" s="451"/>
    </row>
    <row r="708" spans="8:19">
      <c r="H708" s="357"/>
      <c r="I708" s="357"/>
      <c r="J708" s="357"/>
      <c r="K708" s="357"/>
      <c r="L708" s="249"/>
      <c r="M708" s="249"/>
      <c r="N708" s="249"/>
      <c r="O708" s="249"/>
      <c r="P708" s="451"/>
      <c r="Q708" s="451"/>
      <c r="R708" s="451"/>
      <c r="S708" s="451"/>
    </row>
    <row r="709" spans="8:19">
      <c r="H709" s="357"/>
      <c r="I709" s="357"/>
      <c r="J709" s="357"/>
      <c r="K709" s="357"/>
      <c r="L709" s="249"/>
      <c r="M709" s="249"/>
      <c r="N709" s="249"/>
      <c r="O709" s="249"/>
      <c r="P709" s="451"/>
      <c r="Q709" s="451"/>
      <c r="R709" s="451"/>
      <c r="S709" s="451"/>
    </row>
    <row r="710" spans="8:19">
      <c r="H710" s="357"/>
      <c r="I710" s="357"/>
      <c r="J710" s="357"/>
      <c r="K710" s="357"/>
      <c r="L710" s="249"/>
      <c r="M710" s="249"/>
      <c r="N710" s="249"/>
      <c r="O710" s="249"/>
      <c r="P710" s="451"/>
      <c r="Q710" s="451"/>
      <c r="R710" s="451"/>
      <c r="S710" s="451"/>
    </row>
    <row r="711" spans="8:19">
      <c r="H711" s="357"/>
      <c r="I711" s="357"/>
      <c r="J711" s="357"/>
      <c r="K711" s="357"/>
      <c r="L711" s="249"/>
      <c r="M711" s="249"/>
      <c r="N711" s="249"/>
      <c r="O711" s="249"/>
      <c r="P711" s="451"/>
      <c r="Q711" s="451"/>
      <c r="R711" s="451"/>
      <c r="S711" s="451"/>
    </row>
    <row r="712" spans="8:19">
      <c r="H712" s="357"/>
      <c r="I712" s="357"/>
      <c r="J712" s="357"/>
      <c r="K712" s="357"/>
      <c r="L712" s="249"/>
      <c r="M712" s="249"/>
      <c r="N712" s="249"/>
      <c r="O712" s="249"/>
      <c r="P712" s="451"/>
      <c r="Q712" s="451"/>
      <c r="R712" s="451"/>
      <c r="S712" s="451"/>
    </row>
    <row r="713" spans="8:19">
      <c r="H713" s="357"/>
      <c r="I713" s="357"/>
      <c r="J713" s="357"/>
      <c r="K713" s="357"/>
      <c r="L713" s="249"/>
      <c r="M713" s="249"/>
      <c r="N713" s="249"/>
      <c r="O713" s="249"/>
      <c r="P713" s="451"/>
      <c r="Q713" s="451"/>
      <c r="R713" s="451"/>
      <c r="S713" s="451"/>
    </row>
    <row r="714" spans="8:19">
      <c r="H714" s="357"/>
      <c r="I714" s="357"/>
      <c r="J714" s="357"/>
      <c r="K714" s="357"/>
      <c r="L714" s="249"/>
      <c r="M714" s="249"/>
      <c r="N714" s="249"/>
      <c r="O714" s="249"/>
      <c r="P714" s="451"/>
      <c r="Q714" s="451"/>
      <c r="R714" s="451"/>
      <c r="S714" s="451"/>
    </row>
    <row r="715" spans="8:19">
      <c r="H715" s="357"/>
      <c r="I715" s="357"/>
      <c r="J715" s="357"/>
      <c r="K715" s="357"/>
      <c r="L715" s="249"/>
      <c r="M715" s="249"/>
      <c r="N715" s="249"/>
      <c r="O715" s="249"/>
      <c r="P715" s="451"/>
      <c r="Q715" s="451"/>
      <c r="R715" s="451"/>
      <c r="S715" s="451"/>
    </row>
    <row r="716" spans="8:19">
      <c r="H716" s="357"/>
      <c r="I716" s="357"/>
      <c r="J716" s="357"/>
      <c r="K716" s="357"/>
      <c r="L716" s="249"/>
      <c r="M716" s="249"/>
      <c r="N716" s="249"/>
      <c r="O716" s="249"/>
      <c r="P716" s="451"/>
      <c r="Q716" s="451"/>
      <c r="R716" s="451"/>
      <c r="S716" s="451"/>
    </row>
    <row r="717" spans="8:19">
      <c r="H717" s="357"/>
      <c r="I717" s="357"/>
      <c r="J717" s="357"/>
      <c r="K717" s="357"/>
      <c r="L717" s="249"/>
      <c r="M717" s="249"/>
      <c r="N717" s="249"/>
      <c r="O717" s="249"/>
      <c r="P717" s="451"/>
      <c r="Q717" s="451"/>
      <c r="R717" s="451"/>
      <c r="S717" s="451"/>
    </row>
    <row r="718" spans="8:19">
      <c r="H718" s="357"/>
      <c r="I718" s="357"/>
      <c r="J718" s="357"/>
      <c r="K718" s="357"/>
      <c r="L718" s="249"/>
      <c r="M718" s="249"/>
      <c r="N718" s="249"/>
      <c r="O718" s="249"/>
      <c r="P718" s="451"/>
      <c r="Q718" s="451"/>
      <c r="R718" s="451"/>
      <c r="S718" s="451"/>
    </row>
    <row r="719" spans="8:19">
      <c r="H719" s="357"/>
      <c r="I719" s="357"/>
      <c r="J719" s="357"/>
      <c r="K719" s="357"/>
      <c r="L719" s="249"/>
      <c r="M719" s="249"/>
      <c r="N719" s="249"/>
      <c r="O719" s="249"/>
      <c r="P719" s="451"/>
      <c r="Q719" s="451"/>
      <c r="R719" s="451"/>
      <c r="S719" s="451"/>
    </row>
    <row r="720" spans="8:19">
      <c r="H720" s="357"/>
      <c r="I720" s="357"/>
      <c r="J720" s="357"/>
      <c r="K720" s="357"/>
      <c r="L720" s="249"/>
      <c r="M720" s="249"/>
      <c r="N720" s="249"/>
      <c r="O720" s="249"/>
      <c r="P720" s="451"/>
      <c r="Q720" s="451"/>
      <c r="R720" s="451"/>
      <c r="S720" s="451"/>
    </row>
    <row r="721" spans="8:19">
      <c r="H721" s="357"/>
      <c r="I721" s="357"/>
      <c r="J721" s="357"/>
      <c r="K721" s="357"/>
      <c r="L721" s="249"/>
      <c r="M721" s="249"/>
      <c r="N721" s="249"/>
      <c r="O721" s="249"/>
      <c r="P721" s="451"/>
      <c r="Q721" s="451"/>
      <c r="R721" s="451"/>
      <c r="S721" s="451"/>
    </row>
    <row r="722" spans="8:19">
      <c r="H722" s="357"/>
      <c r="I722" s="357"/>
      <c r="J722" s="357"/>
      <c r="K722" s="357"/>
      <c r="L722" s="249"/>
      <c r="M722" s="249"/>
      <c r="N722" s="249"/>
      <c r="O722" s="249"/>
      <c r="P722" s="451"/>
      <c r="Q722" s="451"/>
      <c r="R722" s="451"/>
      <c r="S722" s="451"/>
    </row>
    <row r="723" spans="8:19">
      <c r="H723" s="357"/>
      <c r="I723" s="357"/>
      <c r="J723" s="357"/>
      <c r="K723" s="357"/>
      <c r="L723" s="249"/>
      <c r="M723" s="249"/>
      <c r="N723" s="249"/>
      <c r="O723" s="249"/>
      <c r="P723" s="451"/>
      <c r="Q723" s="451"/>
      <c r="R723" s="451"/>
      <c r="S723" s="451"/>
    </row>
    <row r="724" spans="8:19">
      <c r="H724" s="357"/>
      <c r="I724" s="357"/>
      <c r="J724" s="357"/>
      <c r="K724" s="357"/>
      <c r="L724" s="249"/>
      <c r="M724" s="249"/>
      <c r="N724" s="249"/>
      <c r="O724" s="249"/>
      <c r="P724" s="451"/>
      <c r="Q724" s="451"/>
      <c r="R724" s="451"/>
      <c r="S724" s="451"/>
    </row>
    <row r="725" spans="8:19">
      <c r="H725" s="357"/>
      <c r="I725" s="357"/>
      <c r="J725" s="357"/>
      <c r="K725" s="357"/>
      <c r="L725" s="249"/>
      <c r="M725" s="249"/>
      <c r="N725" s="249"/>
      <c r="O725" s="249"/>
      <c r="P725" s="451"/>
      <c r="Q725" s="451"/>
      <c r="R725" s="451"/>
      <c r="S725" s="451"/>
    </row>
    <row r="726" spans="8:19">
      <c r="H726" s="357"/>
      <c r="I726" s="357"/>
      <c r="J726" s="357"/>
      <c r="K726" s="357"/>
      <c r="L726" s="249"/>
      <c r="M726" s="249"/>
      <c r="N726" s="249"/>
      <c r="O726" s="249"/>
      <c r="P726" s="451"/>
      <c r="Q726" s="451"/>
      <c r="R726" s="451"/>
      <c r="S726" s="451"/>
    </row>
    <row r="727" spans="8:19">
      <c r="H727" s="357"/>
      <c r="I727" s="357"/>
      <c r="J727" s="357"/>
      <c r="K727" s="357"/>
      <c r="L727" s="249"/>
      <c r="M727" s="249"/>
      <c r="N727" s="249"/>
      <c r="O727" s="249"/>
      <c r="P727" s="451"/>
      <c r="Q727" s="451"/>
      <c r="R727" s="451"/>
      <c r="S727" s="451"/>
    </row>
    <row r="728" spans="8:19">
      <c r="H728" s="357"/>
      <c r="I728" s="357"/>
      <c r="J728" s="357"/>
      <c r="K728" s="357"/>
      <c r="L728" s="249"/>
      <c r="M728" s="249"/>
      <c r="N728" s="249"/>
      <c r="O728" s="249"/>
      <c r="P728" s="451"/>
      <c r="Q728" s="451"/>
      <c r="R728" s="451"/>
      <c r="S728" s="451"/>
    </row>
    <row r="729" spans="8:19">
      <c r="H729" s="357"/>
      <c r="I729" s="357"/>
      <c r="J729" s="357"/>
      <c r="K729" s="357"/>
      <c r="L729" s="249"/>
      <c r="M729" s="249"/>
      <c r="N729" s="249"/>
      <c r="O729" s="249"/>
      <c r="P729" s="451"/>
      <c r="Q729" s="451"/>
      <c r="R729" s="451"/>
      <c r="S729" s="451"/>
    </row>
    <row r="730" spans="8:19">
      <c r="H730" s="357"/>
      <c r="I730" s="357"/>
      <c r="J730" s="357"/>
      <c r="K730" s="357"/>
      <c r="L730" s="249"/>
      <c r="M730" s="249"/>
      <c r="N730" s="249"/>
      <c r="O730" s="249"/>
      <c r="P730" s="451"/>
      <c r="Q730" s="451"/>
      <c r="R730" s="451"/>
      <c r="S730" s="451"/>
    </row>
    <row r="731" spans="8:19">
      <c r="H731" s="357"/>
      <c r="I731" s="357"/>
      <c r="J731" s="357"/>
      <c r="K731" s="357"/>
      <c r="L731" s="249"/>
      <c r="M731" s="249"/>
      <c r="N731" s="249"/>
      <c r="O731" s="249"/>
      <c r="P731" s="451"/>
      <c r="Q731" s="451"/>
      <c r="R731" s="451"/>
      <c r="S731" s="451"/>
    </row>
    <row r="732" spans="8:19">
      <c r="H732" s="357"/>
      <c r="I732" s="357"/>
      <c r="J732" s="357"/>
      <c r="K732" s="357"/>
      <c r="L732" s="249"/>
      <c r="M732" s="249"/>
      <c r="N732" s="249"/>
      <c r="O732" s="249"/>
      <c r="P732" s="451"/>
      <c r="Q732" s="451"/>
      <c r="R732" s="451"/>
      <c r="S732" s="451"/>
    </row>
    <row r="733" spans="8:19">
      <c r="H733" s="357"/>
      <c r="I733" s="357"/>
      <c r="J733" s="357"/>
      <c r="K733" s="357"/>
      <c r="L733" s="249"/>
      <c r="M733" s="249"/>
      <c r="N733" s="249"/>
      <c r="O733" s="249"/>
      <c r="P733" s="451"/>
      <c r="Q733" s="451"/>
      <c r="R733" s="451"/>
      <c r="S733" s="451"/>
    </row>
    <row r="734" spans="8:19">
      <c r="H734" s="357"/>
      <c r="I734" s="357"/>
      <c r="J734" s="357"/>
      <c r="K734" s="357"/>
      <c r="L734" s="249"/>
      <c r="M734" s="249"/>
      <c r="N734" s="249"/>
      <c r="O734" s="249"/>
      <c r="P734" s="451"/>
      <c r="Q734" s="451"/>
      <c r="R734" s="451"/>
      <c r="S734" s="451"/>
    </row>
    <row r="735" spans="8:19">
      <c r="H735" s="357"/>
      <c r="I735" s="357"/>
      <c r="J735" s="357"/>
      <c r="K735" s="357"/>
      <c r="L735" s="249"/>
      <c r="M735" s="249"/>
      <c r="N735" s="249"/>
      <c r="O735" s="249"/>
      <c r="P735" s="451"/>
      <c r="Q735" s="451"/>
      <c r="R735" s="451"/>
      <c r="S735" s="451"/>
    </row>
    <row r="736" spans="8:19">
      <c r="H736" s="357"/>
      <c r="I736" s="357"/>
      <c r="J736" s="357"/>
      <c r="K736" s="357"/>
      <c r="L736" s="249"/>
      <c r="M736" s="249"/>
      <c r="N736" s="249"/>
      <c r="O736" s="249"/>
      <c r="P736" s="451"/>
      <c r="Q736" s="451"/>
      <c r="R736" s="451"/>
      <c r="S736" s="451"/>
    </row>
    <row r="737" spans="8:19">
      <c r="H737" s="357"/>
      <c r="I737" s="357"/>
      <c r="J737" s="357"/>
      <c r="K737" s="357"/>
      <c r="L737" s="249"/>
      <c r="M737" s="249"/>
      <c r="N737" s="249"/>
      <c r="O737" s="249"/>
      <c r="P737" s="451"/>
      <c r="Q737" s="451"/>
      <c r="R737" s="451"/>
      <c r="S737" s="451"/>
    </row>
    <row r="738" spans="8:19">
      <c r="H738" s="357"/>
      <c r="I738" s="357"/>
      <c r="J738" s="357"/>
      <c r="K738" s="357"/>
      <c r="L738" s="249"/>
      <c r="M738" s="249"/>
      <c r="N738" s="249"/>
      <c r="O738" s="249"/>
      <c r="P738" s="451"/>
      <c r="Q738" s="451"/>
      <c r="R738" s="451"/>
      <c r="S738" s="451"/>
    </row>
    <row r="739" spans="8:19">
      <c r="H739" s="357"/>
      <c r="I739" s="357"/>
      <c r="J739" s="357"/>
      <c r="K739" s="357"/>
      <c r="L739" s="249"/>
      <c r="M739" s="249"/>
      <c r="N739" s="249"/>
      <c r="O739" s="249"/>
      <c r="P739" s="451"/>
      <c r="Q739" s="451"/>
      <c r="R739" s="451"/>
      <c r="S739" s="451"/>
    </row>
    <row r="740" spans="8:19">
      <c r="H740" s="357"/>
      <c r="I740" s="357"/>
      <c r="J740" s="357"/>
      <c r="K740" s="357"/>
      <c r="L740" s="249"/>
      <c r="M740" s="249"/>
      <c r="N740" s="249"/>
      <c r="O740" s="249"/>
      <c r="P740" s="451"/>
      <c r="Q740" s="451"/>
      <c r="R740" s="451"/>
      <c r="S740" s="451"/>
    </row>
    <row r="741" spans="8:19">
      <c r="H741" s="357"/>
      <c r="I741" s="357"/>
      <c r="J741" s="357"/>
      <c r="K741" s="357"/>
      <c r="L741" s="249"/>
      <c r="M741" s="249"/>
      <c r="N741" s="249"/>
      <c r="O741" s="249"/>
      <c r="P741" s="451"/>
      <c r="Q741" s="451"/>
      <c r="R741" s="451"/>
      <c r="S741" s="451"/>
    </row>
    <row r="742" spans="8:19">
      <c r="H742" s="357"/>
      <c r="I742" s="357"/>
      <c r="J742" s="357"/>
      <c r="K742" s="357"/>
      <c r="L742" s="249"/>
      <c r="M742" s="249"/>
      <c r="N742" s="249"/>
      <c r="O742" s="249"/>
      <c r="P742" s="451"/>
      <c r="Q742" s="451"/>
      <c r="R742" s="451"/>
      <c r="S742" s="451"/>
    </row>
    <row r="743" spans="8:19">
      <c r="H743" s="357"/>
      <c r="I743" s="357"/>
      <c r="J743" s="357"/>
      <c r="K743" s="357"/>
      <c r="L743" s="249"/>
      <c r="M743" s="249"/>
      <c r="N743" s="249"/>
      <c r="O743" s="249"/>
      <c r="P743" s="451"/>
      <c r="Q743" s="451"/>
      <c r="R743" s="451"/>
      <c r="S743" s="451"/>
    </row>
    <row r="744" spans="8:19">
      <c r="H744" s="357"/>
      <c r="I744" s="357"/>
      <c r="J744" s="357"/>
      <c r="K744" s="357"/>
      <c r="L744" s="249"/>
      <c r="M744" s="249"/>
      <c r="N744" s="249"/>
      <c r="O744" s="249"/>
      <c r="P744" s="451"/>
      <c r="Q744" s="451"/>
      <c r="R744" s="451"/>
      <c r="S744" s="451"/>
    </row>
    <row r="745" spans="8:19">
      <c r="H745" s="357"/>
      <c r="I745" s="357"/>
      <c r="J745" s="357"/>
      <c r="K745" s="357"/>
      <c r="L745" s="249"/>
      <c r="M745" s="249"/>
      <c r="N745" s="249"/>
      <c r="O745" s="249"/>
      <c r="P745" s="451"/>
      <c r="Q745" s="451"/>
      <c r="R745" s="451"/>
      <c r="S745" s="451"/>
    </row>
    <row r="746" spans="8:19">
      <c r="H746" s="357"/>
      <c r="I746" s="357"/>
      <c r="J746" s="357"/>
      <c r="K746" s="357"/>
      <c r="L746" s="249"/>
      <c r="M746" s="249"/>
      <c r="N746" s="249"/>
      <c r="O746" s="249"/>
      <c r="P746" s="451"/>
      <c r="Q746" s="451"/>
      <c r="R746" s="451"/>
      <c r="S746" s="451"/>
    </row>
    <row r="747" spans="8:19">
      <c r="H747" s="357"/>
      <c r="I747" s="357"/>
      <c r="J747" s="357"/>
      <c r="K747" s="357"/>
      <c r="L747" s="249"/>
      <c r="M747" s="249"/>
      <c r="N747" s="249"/>
      <c r="O747" s="249"/>
      <c r="P747" s="451"/>
      <c r="Q747" s="451"/>
      <c r="R747" s="451"/>
      <c r="S747" s="451"/>
    </row>
    <row r="748" spans="8:19">
      <c r="H748" s="357"/>
      <c r="I748" s="357"/>
      <c r="J748" s="357"/>
      <c r="K748" s="357"/>
      <c r="L748" s="249"/>
      <c r="M748" s="249"/>
      <c r="N748" s="249"/>
      <c r="O748" s="249"/>
      <c r="P748" s="451"/>
      <c r="Q748" s="451"/>
      <c r="R748" s="451"/>
      <c r="S748" s="451"/>
    </row>
    <row r="749" spans="8:19">
      <c r="H749" s="357"/>
      <c r="I749" s="357"/>
      <c r="J749" s="357"/>
      <c r="K749" s="357"/>
      <c r="L749" s="249"/>
      <c r="M749" s="249"/>
      <c r="N749" s="249"/>
      <c r="O749" s="249"/>
      <c r="P749" s="451"/>
      <c r="Q749" s="451"/>
      <c r="R749" s="451"/>
      <c r="S749" s="451"/>
    </row>
    <row r="750" spans="8:19">
      <c r="H750" s="357"/>
      <c r="I750" s="357"/>
      <c r="J750" s="357"/>
      <c r="K750" s="357"/>
      <c r="L750" s="249"/>
      <c r="M750" s="249"/>
      <c r="N750" s="249"/>
      <c r="O750" s="249"/>
      <c r="P750" s="451"/>
      <c r="Q750" s="451"/>
      <c r="R750" s="451"/>
      <c r="S750" s="451"/>
    </row>
    <row r="751" spans="8:19">
      <c r="H751" s="357"/>
      <c r="I751" s="357"/>
      <c r="J751" s="357"/>
      <c r="K751" s="357"/>
      <c r="L751" s="249"/>
      <c r="M751" s="249"/>
      <c r="N751" s="249"/>
      <c r="O751" s="249"/>
      <c r="P751" s="451"/>
      <c r="Q751" s="451"/>
      <c r="R751" s="451"/>
      <c r="S751" s="451"/>
    </row>
    <row r="752" spans="8:19">
      <c r="H752" s="357"/>
      <c r="I752" s="357"/>
      <c r="J752" s="357"/>
      <c r="K752" s="357"/>
      <c r="L752" s="249"/>
      <c r="M752" s="249"/>
      <c r="N752" s="249"/>
      <c r="O752" s="249"/>
      <c r="P752" s="451"/>
      <c r="Q752" s="451"/>
      <c r="R752" s="451"/>
      <c r="S752" s="451"/>
    </row>
    <row r="753" spans="8:19">
      <c r="H753" s="357"/>
      <c r="I753" s="357"/>
      <c r="J753" s="357"/>
      <c r="K753" s="357"/>
      <c r="L753" s="249"/>
      <c r="M753" s="249"/>
      <c r="N753" s="249"/>
      <c r="O753" s="249"/>
      <c r="P753" s="451"/>
      <c r="Q753" s="451"/>
      <c r="R753" s="451"/>
      <c r="S753" s="451"/>
    </row>
    <row r="754" spans="8:19">
      <c r="H754" s="357"/>
      <c r="I754" s="357"/>
      <c r="J754" s="357"/>
      <c r="K754" s="357"/>
      <c r="L754" s="249"/>
      <c r="M754" s="249"/>
      <c r="N754" s="249"/>
      <c r="O754" s="249"/>
      <c r="P754" s="451"/>
      <c r="Q754" s="451"/>
      <c r="R754" s="451"/>
      <c r="S754" s="451"/>
    </row>
    <row r="755" spans="8:19">
      <c r="H755" s="357"/>
      <c r="I755" s="357"/>
      <c r="J755" s="357"/>
      <c r="K755" s="357"/>
      <c r="L755" s="249"/>
      <c r="M755" s="249"/>
      <c r="N755" s="249"/>
      <c r="O755" s="249"/>
      <c r="P755" s="451"/>
      <c r="Q755" s="451"/>
      <c r="R755" s="451"/>
      <c r="S755" s="451"/>
    </row>
    <row r="756" spans="8:19">
      <c r="H756" s="357"/>
      <c r="I756" s="357"/>
      <c r="J756" s="357"/>
      <c r="K756" s="357"/>
      <c r="L756" s="249"/>
      <c r="M756" s="249"/>
      <c r="N756" s="249"/>
      <c r="O756" s="249"/>
      <c r="P756" s="451"/>
      <c r="Q756" s="451"/>
      <c r="R756" s="451"/>
      <c r="S756" s="451"/>
    </row>
    <row r="757" spans="8:19">
      <c r="H757" s="357"/>
      <c r="I757" s="357"/>
      <c r="J757" s="357"/>
      <c r="K757" s="357"/>
      <c r="L757" s="249"/>
      <c r="M757" s="249"/>
      <c r="N757" s="249"/>
      <c r="O757" s="249"/>
      <c r="P757" s="451"/>
      <c r="Q757" s="451"/>
      <c r="R757" s="451"/>
      <c r="S757" s="451"/>
    </row>
    <row r="758" spans="8:19">
      <c r="H758" s="357"/>
      <c r="I758" s="357"/>
      <c r="J758" s="357"/>
      <c r="K758" s="357"/>
      <c r="L758" s="249"/>
      <c r="M758" s="249"/>
      <c r="N758" s="249"/>
      <c r="O758" s="249"/>
      <c r="P758" s="451"/>
      <c r="Q758" s="451"/>
      <c r="R758" s="451"/>
      <c r="S758" s="451"/>
    </row>
    <row r="759" spans="8:19">
      <c r="H759" s="357"/>
      <c r="I759" s="357"/>
      <c r="J759" s="357"/>
      <c r="K759" s="357"/>
      <c r="L759" s="249"/>
      <c r="M759" s="249"/>
      <c r="N759" s="249"/>
      <c r="O759" s="249"/>
      <c r="P759" s="451"/>
      <c r="Q759" s="451"/>
      <c r="R759" s="451"/>
      <c r="S759" s="451"/>
    </row>
    <row r="760" spans="8:19">
      <c r="H760" s="357"/>
      <c r="I760" s="357"/>
      <c r="J760" s="357"/>
      <c r="K760" s="357"/>
      <c r="L760" s="249"/>
      <c r="M760" s="249"/>
      <c r="N760" s="249"/>
      <c r="O760" s="249"/>
      <c r="P760" s="451"/>
      <c r="Q760" s="451"/>
      <c r="R760" s="451"/>
      <c r="S760" s="451"/>
    </row>
    <row r="761" spans="8:19">
      <c r="H761" s="357"/>
      <c r="I761" s="357"/>
      <c r="J761" s="357"/>
      <c r="K761" s="357"/>
      <c r="L761" s="249"/>
      <c r="M761" s="249"/>
      <c r="N761" s="249"/>
      <c r="O761" s="249"/>
      <c r="P761" s="451"/>
      <c r="Q761" s="451"/>
      <c r="R761" s="451"/>
      <c r="S761" s="451"/>
    </row>
    <row r="762" spans="8:19">
      <c r="H762" s="357"/>
      <c r="I762" s="357"/>
      <c r="J762" s="357"/>
      <c r="K762" s="357"/>
      <c r="L762" s="249"/>
      <c r="M762" s="249"/>
      <c r="N762" s="249"/>
      <c r="O762" s="249"/>
      <c r="P762" s="451"/>
      <c r="Q762" s="451"/>
      <c r="R762" s="451"/>
      <c r="S762" s="451"/>
    </row>
    <row r="763" spans="8:19">
      <c r="H763" s="357"/>
      <c r="I763" s="357"/>
      <c r="J763" s="357"/>
      <c r="K763" s="357"/>
      <c r="L763" s="249"/>
      <c r="M763" s="249"/>
      <c r="N763" s="249"/>
      <c r="O763" s="249"/>
      <c r="P763" s="451"/>
      <c r="Q763" s="451"/>
      <c r="R763" s="451"/>
      <c r="S763" s="451"/>
    </row>
    <row r="764" spans="8:19">
      <c r="H764" s="357"/>
      <c r="I764" s="357"/>
      <c r="J764" s="357"/>
      <c r="K764" s="357"/>
      <c r="L764" s="249"/>
      <c r="M764" s="249"/>
      <c r="N764" s="249"/>
      <c r="O764" s="249"/>
      <c r="P764" s="451"/>
      <c r="Q764" s="451"/>
      <c r="R764" s="451"/>
      <c r="S764" s="451"/>
    </row>
    <row r="765" spans="8:19">
      <c r="H765" s="357"/>
      <c r="I765" s="357"/>
      <c r="J765" s="357"/>
      <c r="K765" s="357"/>
      <c r="L765" s="249"/>
      <c r="M765" s="249"/>
      <c r="N765" s="249"/>
      <c r="O765" s="249"/>
      <c r="P765" s="451"/>
      <c r="Q765" s="451"/>
      <c r="R765" s="451"/>
      <c r="S765" s="451"/>
    </row>
    <row r="766" spans="8:19">
      <c r="H766" s="357"/>
      <c r="I766" s="357"/>
      <c r="J766" s="357"/>
      <c r="K766" s="357"/>
      <c r="L766" s="249"/>
      <c r="M766" s="249"/>
      <c r="N766" s="249"/>
      <c r="O766" s="249"/>
      <c r="P766" s="451"/>
      <c r="Q766" s="451"/>
      <c r="R766" s="451"/>
      <c r="S766" s="451"/>
    </row>
    <row r="767" spans="8:19">
      <c r="H767" s="357"/>
      <c r="I767" s="357"/>
      <c r="J767" s="357"/>
      <c r="K767" s="357"/>
      <c r="L767" s="249"/>
      <c r="M767" s="249"/>
      <c r="N767" s="249"/>
      <c r="O767" s="249"/>
      <c r="P767" s="451"/>
      <c r="Q767" s="451"/>
      <c r="R767" s="451"/>
      <c r="S767" s="451"/>
    </row>
    <row r="768" spans="8:19">
      <c r="H768" s="357"/>
      <c r="I768" s="357"/>
      <c r="J768" s="357"/>
      <c r="K768" s="357"/>
      <c r="L768" s="249"/>
      <c r="M768" s="249"/>
      <c r="N768" s="249"/>
      <c r="O768" s="249"/>
      <c r="P768" s="451"/>
      <c r="Q768" s="451"/>
      <c r="R768" s="451"/>
      <c r="S768" s="451"/>
    </row>
    <row r="769" spans="8:19">
      <c r="H769" s="357"/>
      <c r="I769" s="357"/>
      <c r="J769" s="357"/>
      <c r="K769" s="357"/>
      <c r="L769" s="249"/>
      <c r="M769" s="249"/>
      <c r="N769" s="249"/>
      <c r="O769" s="249"/>
      <c r="P769" s="451"/>
      <c r="Q769" s="451"/>
      <c r="R769" s="451"/>
      <c r="S769" s="451"/>
    </row>
    <row r="770" spans="8:19">
      <c r="H770" s="357"/>
      <c r="I770" s="357"/>
      <c r="J770" s="357"/>
      <c r="K770" s="357"/>
      <c r="L770" s="249"/>
      <c r="M770" s="249"/>
      <c r="N770" s="249"/>
      <c r="O770" s="249"/>
      <c r="P770" s="451"/>
      <c r="Q770" s="451"/>
      <c r="R770" s="451"/>
      <c r="S770" s="451"/>
    </row>
    <row r="771" spans="8:19">
      <c r="H771" s="357"/>
      <c r="I771" s="357"/>
      <c r="J771" s="357"/>
      <c r="K771" s="357"/>
      <c r="L771" s="249"/>
      <c r="M771" s="249"/>
      <c r="N771" s="249"/>
      <c r="O771" s="249"/>
      <c r="P771" s="451"/>
      <c r="Q771" s="451"/>
      <c r="R771" s="451"/>
      <c r="S771" s="451"/>
    </row>
    <row r="772" spans="8:19">
      <c r="H772" s="357"/>
      <c r="I772" s="357"/>
      <c r="J772" s="357"/>
      <c r="K772" s="357"/>
      <c r="L772" s="249"/>
      <c r="M772" s="249"/>
      <c r="N772" s="249"/>
      <c r="O772" s="249"/>
      <c r="P772" s="451"/>
      <c r="Q772" s="451"/>
      <c r="R772" s="451"/>
      <c r="S772" s="451"/>
    </row>
    <row r="773" spans="8:19">
      <c r="H773" s="357"/>
      <c r="I773" s="357"/>
      <c r="J773" s="357"/>
      <c r="K773" s="357"/>
      <c r="L773" s="249"/>
      <c r="M773" s="249"/>
      <c r="N773" s="249"/>
      <c r="O773" s="249"/>
      <c r="P773" s="451"/>
      <c r="Q773" s="451"/>
      <c r="R773" s="451"/>
      <c r="S773" s="451"/>
    </row>
    <row r="774" spans="8:19">
      <c r="H774" s="357"/>
      <c r="I774" s="357"/>
      <c r="J774" s="357"/>
      <c r="K774" s="357"/>
      <c r="L774" s="249"/>
      <c r="M774" s="249"/>
      <c r="N774" s="249"/>
      <c r="O774" s="249"/>
      <c r="P774" s="451"/>
      <c r="Q774" s="451"/>
      <c r="R774" s="451"/>
      <c r="S774" s="451"/>
    </row>
    <row r="775" spans="8:19">
      <c r="H775" s="357"/>
      <c r="I775" s="357"/>
      <c r="J775" s="357"/>
      <c r="K775" s="357"/>
      <c r="L775" s="249"/>
      <c r="M775" s="249"/>
      <c r="N775" s="249"/>
      <c r="O775" s="249"/>
      <c r="P775" s="451"/>
      <c r="Q775" s="451"/>
      <c r="R775" s="451"/>
      <c r="S775" s="451"/>
    </row>
    <row r="776" spans="8:19">
      <c r="H776" s="357"/>
      <c r="I776" s="357"/>
      <c r="J776" s="357"/>
      <c r="K776" s="357"/>
      <c r="L776" s="249"/>
      <c r="M776" s="249"/>
      <c r="N776" s="249"/>
      <c r="O776" s="249"/>
      <c r="P776" s="451"/>
      <c r="Q776" s="451"/>
      <c r="R776" s="451"/>
      <c r="S776" s="451"/>
    </row>
    <row r="777" spans="8:19">
      <c r="H777" s="357"/>
      <c r="I777" s="357"/>
      <c r="J777" s="357"/>
      <c r="K777" s="357"/>
      <c r="L777" s="249"/>
      <c r="M777" s="249"/>
      <c r="N777" s="249"/>
      <c r="O777" s="249"/>
      <c r="P777" s="451"/>
      <c r="Q777" s="451"/>
      <c r="R777" s="451"/>
      <c r="S777" s="451"/>
    </row>
    <row r="778" spans="8:19">
      <c r="H778" s="357"/>
      <c r="I778" s="357"/>
      <c r="J778" s="357"/>
      <c r="K778" s="357"/>
      <c r="L778" s="249"/>
      <c r="M778" s="249"/>
      <c r="N778" s="249"/>
      <c r="O778" s="249"/>
      <c r="P778" s="451"/>
      <c r="Q778" s="451"/>
      <c r="R778" s="451"/>
      <c r="S778" s="451"/>
    </row>
    <row r="779" spans="8:19">
      <c r="H779" s="357"/>
      <c r="I779" s="357"/>
      <c r="J779" s="357"/>
      <c r="K779" s="357"/>
      <c r="L779" s="249"/>
      <c r="M779" s="249"/>
      <c r="N779" s="249"/>
      <c r="O779" s="249"/>
      <c r="P779" s="451"/>
      <c r="Q779" s="451"/>
      <c r="R779" s="451"/>
      <c r="S779" s="451"/>
    </row>
    <row r="780" spans="8:19">
      <c r="H780" s="357"/>
      <c r="I780" s="357"/>
      <c r="J780" s="357"/>
      <c r="K780" s="357"/>
      <c r="L780" s="249"/>
      <c r="M780" s="249"/>
      <c r="N780" s="249"/>
      <c r="O780" s="249"/>
      <c r="P780" s="451"/>
      <c r="Q780" s="451"/>
      <c r="R780" s="451"/>
      <c r="S780" s="451"/>
    </row>
    <row r="781" spans="8:19">
      <c r="H781" s="357"/>
      <c r="I781" s="357"/>
      <c r="J781" s="357"/>
      <c r="K781" s="357"/>
      <c r="L781" s="249"/>
      <c r="M781" s="249"/>
      <c r="N781" s="249"/>
      <c r="O781" s="249"/>
      <c r="P781" s="451"/>
      <c r="Q781" s="451"/>
      <c r="R781" s="451"/>
      <c r="S781" s="451"/>
    </row>
    <row r="782" spans="8:19">
      <c r="H782" s="357"/>
      <c r="I782" s="357"/>
      <c r="J782" s="357"/>
      <c r="K782" s="357"/>
      <c r="L782" s="249"/>
      <c r="M782" s="249"/>
      <c r="N782" s="249"/>
      <c r="O782" s="249"/>
      <c r="P782" s="451"/>
      <c r="Q782" s="451"/>
      <c r="R782" s="451"/>
      <c r="S782" s="451"/>
    </row>
    <row r="783" spans="8:19">
      <c r="H783" s="357"/>
      <c r="I783" s="357"/>
      <c r="J783" s="357"/>
      <c r="K783" s="357"/>
      <c r="L783" s="249"/>
      <c r="M783" s="249"/>
      <c r="N783" s="249"/>
      <c r="O783" s="249"/>
      <c r="P783" s="451"/>
      <c r="Q783" s="451"/>
      <c r="R783" s="451"/>
      <c r="S783" s="451"/>
    </row>
    <row r="784" spans="8:19">
      <c r="H784" s="357"/>
      <c r="I784" s="357"/>
      <c r="J784" s="357"/>
      <c r="K784" s="357"/>
      <c r="L784" s="249"/>
      <c r="M784" s="249"/>
      <c r="N784" s="249"/>
      <c r="O784" s="249"/>
      <c r="P784" s="451"/>
      <c r="Q784" s="451"/>
      <c r="R784" s="451"/>
      <c r="S784" s="451"/>
    </row>
    <row r="785" spans="8:19">
      <c r="H785" s="357"/>
      <c r="I785" s="357"/>
      <c r="J785" s="357"/>
      <c r="K785" s="357"/>
      <c r="L785" s="249"/>
      <c r="M785" s="249"/>
      <c r="N785" s="249"/>
      <c r="O785" s="249"/>
      <c r="P785" s="451"/>
      <c r="Q785" s="451"/>
      <c r="R785" s="451"/>
      <c r="S785" s="451"/>
    </row>
    <row r="786" spans="8:19">
      <c r="H786" s="357"/>
      <c r="I786" s="357"/>
      <c r="J786" s="357"/>
      <c r="K786" s="357"/>
      <c r="L786" s="249"/>
      <c r="M786" s="249"/>
      <c r="N786" s="249"/>
      <c r="O786" s="249"/>
      <c r="P786" s="451"/>
      <c r="Q786" s="451"/>
      <c r="R786" s="451"/>
      <c r="S786" s="451"/>
    </row>
    <row r="787" spans="8:19">
      <c r="H787" s="357"/>
      <c r="I787" s="357"/>
      <c r="J787" s="357"/>
      <c r="K787" s="357"/>
      <c r="L787" s="249"/>
      <c r="M787" s="249"/>
      <c r="N787" s="249"/>
      <c r="O787" s="249"/>
      <c r="P787" s="451"/>
      <c r="Q787" s="451"/>
      <c r="R787" s="451"/>
      <c r="S787" s="451"/>
    </row>
    <row r="788" spans="8:19">
      <c r="H788" s="357"/>
      <c r="I788" s="357"/>
      <c r="J788" s="357"/>
      <c r="K788" s="357"/>
      <c r="L788" s="249"/>
      <c r="M788" s="249"/>
      <c r="N788" s="249"/>
      <c r="O788" s="249"/>
      <c r="P788" s="451"/>
      <c r="Q788" s="451"/>
      <c r="R788" s="451"/>
      <c r="S788" s="451"/>
    </row>
    <row r="789" spans="8:19">
      <c r="H789" s="357"/>
      <c r="I789" s="357"/>
      <c r="J789" s="357"/>
      <c r="K789" s="357"/>
      <c r="L789" s="249"/>
      <c r="M789" s="249"/>
      <c r="N789" s="249"/>
      <c r="O789" s="249"/>
      <c r="P789" s="451"/>
      <c r="Q789" s="451"/>
      <c r="R789" s="451"/>
      <c r="S789" s="451"/>
    </row>
    <row r="790" spans="8:19">
      <c r="H790" s="357"/>
      <c r="I790" s="357"/>
      <c r="J790" s="357"/>
      <c r="K790" s="357"/>
      <c r="L790" s="249"/>
      <c r="M790" s="249"/>
      <c r="N790" s="249"/>
      <c r="O790" s="249"/>
      <c r="P790" s="451"/>
      <c r="Q790" s="451"/>
      <c r="R790" s="451"/>
      <c r="S790" s="451"/>
    </row>
    <row r="791" spans="8:19">
      <c r="H791" s="357"/>
      <c r="I791" s="357"/>
      <c r="J791" s="357"/>
      <c r="K791" s="357"/>
      <c r="L791" s="249"/>
      <c r="M791" s="249"/>
      <c r="N791" s="249"/>
      <c r="O791" s="249"/>
      <c r="P791" s="451"/>
      <c r="Q791" s="451"/>
      <c r="R791" s="451"/>
      <c r="S791" s="451"/>
    </row>
    <row r="792" spans="8:19">
      <c r="H792" s="357"/>
      <c r="I792" s="357"/>
      <c r="J792" s="357"/>
      <c r="K792" s="357"/>
      <c r="L792" s="249"/>
      <c r="M792" s="249"/>
      <c r="N792" s="249"/>
      <c r="O792" s="249"/>
      <c r="P792" s="451"/>
      <c r="Q792" s="451"/>
      <c r="R792" s="451"/>
      <c r="S792" s="451"/>
    </row>
    <row r="793" spans="8:19">
      <c r="H793" s="357"/>
      <c r="I793" s="357"/>
      <c r="J793" s="357"/>
      <c r="K793" s="357"/>
      <c r="L793" s="249"/>
      <c r="M793" s="249"/>
      <c r="N793" s="249"/>
      <c r="O793" s="249"/>
      <c r="P793" s="451"/>
      <c r="Q793" s="451"/>
      <c r="R793" s="451"/>
      <c r="S793" s="451"/>
    </row>
    <row r="794" spans="8:19">
      <c r="H794" s="357"/>
      <c r="I794" s="357"/>
      <c r="J794" s="357"/>
      <c r="K794" s="357"/>
      <c r="L794" s="249"/>
      <c r="M794" s="249"/>
      <c r="N794" s="249"/>
      <c r="O794" s="249"/>
      <c r="P794" s="451"/>
      <c r="Q794" s="451"/>
      <c r="R794" s="451"/>
      <c r="S794" s="451"/>
    </row>
    <row r="795" spans="8:19">
      <c r="H795" s="357"/>
      <c r="I795" s="357"/>
      <c r="J795" s="357"/>
      <c r="K795" s="357"/>
      <c r="L795" s="249"/>
      <c r="M795" s="249"/>
      <c r="N795" s="249"/>
      <c r="O795" s="249"/>
      <c r="P795" s="451"/>
      <c r="Q795" s="451"/>
      <c r="R795" s="451"/>
      <c r="S795" s="451"/>
    </row>
    <row r="796" spans="8:19">
      <c r="H796" s="357"/>
      <c r="I796" s="357"/>
      <c r="J796" s="357"/>
      <c r="K796" s="357"/>
      <c r="L796" s="249"/>
      <c r="M796" s="249"/>
      <c r="N796" s="249"/>
      <c r="O796" s="249"/>
      <c r="P796" s="451"/>
      <c r="Q796" s="451"/>
      <c r="R796" s="451"/>
      <c r="S796" s="451"/>
    </row>
    <row r="797" spans="8:19">
      <c r="H797" s="364"/>
      <c r="I797" s="364"/>
      <c r="J797" s="364"/>
      <c r="K797" s="364"/>
      <c r="L797" s="250"/>
      <c r="M797" s="250"/>
      <c r="N797" s="250"/>
      <c r="O797" s="250"/>
      <c r="P797" s="274"/>
      <c r="Q797" s="274"/>
      <c r="R797" s="274"/>
      <c r="S797" s="274"/>
    </row>
    <row r="798" spans="8:19">
      <c r="H798" s="364"/>
      <c r="I798" s="364"/>
      <c r="J798" s="364"/>
      <c r="K798" s="364"/>
      <c r="L798" s="250"/>
      <c r="M798" s="250"/>
      <c r="N798" s="250"/>
      <c r="O798" s="250"/>
      <c r="P798" s="274"/>
      <c r="Q798" s="274"/>
      <c r="R798" s="274"/>
      <c r="S798" s="274"/>
    </row>
    <row r="799" spans="8:19">
      <c r="H799" s="364"/>
      <c r="I799" s="364"/>
      <c r="J799" s="364"/>
      <c r="K799" s="364"/>
      <c r="L799" s="250"/>
      <c r="M799" s="250"/>
      <c r="N799" s="250"/>
      <c r="O799" s="250"/>
      <c r="P799" s="274"/>
      <c r="Q799" s="274"/>
      <c r="R799" s="274"/>
      <c r="S799" s="274"/>
    </row>
    <row r="800" spans="8:19">
      <c r="H800" s="365"/>
      <c r="I800" s="365"/>
      <c r="J800" s="365"/>
      <c r="K800" s="365"/>
      <c r="L800" s="231"/>
      <c r="M800" s="231"/>
      <c r="N800" s="231"/>
      <c r="O800" s="231"/>
      <c r="P800" s="275"/>
      <c r="Q800" s="275"/>
      <c r="R800" s="275"/>
      <c r="S800" s="275"/>
    </row>
    <row r="801" spans="8:19">
      <c r="H801" s="365"/>
      <c r="I801" s="365"/>
      <c r="J801" s="365"/>
      <c r="K801" s="365"/>
      <c r="L801" s="231"/>
      <c r="M801" s="231"/>
      <c r="N801" s="231"/>
      <c r="O801" s="231"/>
      <c r="P801" s="275"/>
      <c r="Q801" s="275"/>
      <c r="R801" s="275"/>
      <c r="S801" s="275"/>
    </row>
    <row r="802" spans="8:19">
      <c r="H802" s="365"/>
      <c r="I802" s="365"/>
      <c r="J802" s="365"/>
      <c r="K802" s="365"/>
      <c r="L802" s="231"/>
      <c r="M802" s="231"/>
      <c r="N802" s="231"/>
      <c r="O802" s="231"/>
      <c r="P802" s="275"/>
      <c r="Q802" s="275"/>
      <c r="R802" s="275"/>
      <c r="S802" s="275"/>
    </row>
    <row r="803" spans="8:19">
      <c r="H803" s="365"/>
      <c r="I803" s="365"/>
      <c r="J803" s="365"/>
      <c r="K803" s="365"/>
      <c r="L803" s="231"/>
      <c r="M803" s="231"/>
      <c r="N803" s="231"/>
      <c r="O803" s="231"/>
      <c r="P803" s="275"/>
      <c r="Q803" s="275"/>
      <c r="R803" s="275"/>
      <c r="S803" s="275"/>
    </row>
    <row r="804" spans="8:19">
      <c r="H804" s="365"/>
      <c r="I804" s="365"/>
      <c r="J804" s="365"/>
      <c r="K804" s="365"/>
      <c r="L804" s="231"/>
      <c r="M804" s="231"/>
      <c r="N804" s="231"/>
      <c r="O804" s="231"/>
      <c r="P804" s="275"/>
      <c r="Q804" s="275"/>
      <c r="R804" s="275"/>
      <c r="S804" s="275"/>
    </row>
    <row r="805" spans="8:19">
      <c r="H805" s="365"/>
      <c r="I805" s="365"/>
      <c r="J805" s="365"/>
      <c r="K805" s="365"/>
      <c r="L805" s="231"/>
      <c r="M805" s="231"/>
      <c r="N805" s="231"/>
      <c r="O805" s="231"/>
      <c r="P805" s="275"/>
      <c r="Q805" s="275"/>
      <c r="R805" s="275"/>
      <c r="S805" s="275"/>
    </row>
    <row r="806" spans="8:19">
      <c r="H806" s="365"/>
      <c r="I806" s="365"/>
      <c r="J806" s="365"/>
      <c r="K806" s="365"/>
      <c r="L806" s="231"/>
      <c r="M806" s="231"/>
      <c r="N806" s="231"/>
      <c r="O806" s="231"/>
      <c r="P806" s="275"/>
      <c r="Q806" s="275"/>
      <c r="R806" s="275"/>
      <c r="S806" s="275"/>
    </row>
    <row r="807" spans="8:19">
      <c r="H807" s="365"/>
      <c r="I807" s="365"/>
      <c r="J807" s="365"/>
      <c r="K807" s="365"/>
      <c r="L807" s="231"/>
      <c r="M807" s="231"/>
      <c r="N807" s="231"/>
      <c r="O807" s="231"/>
      <c r="P807" s="275"/>
      <c r="Q807" s="275"/>
      <c r="R807" s="275"/>
      <c r="S807" s="275"/>
    </row>
    <row r="808" spans="8:19">
      <c r="H808" s="365"/>
      <c r="I808" s="365"/>
      <c r="J808" s="365"/>
      <c r="K808" s="365"/>
      <c r="L808" s="231"/>
      <c r="M808" s="231"/>
      <c r="N808" s="231"/>
      <c r="O808" s="231"/>
      <c r="P808" s="275"/>
      <c r="Q808" s="275"/>
      <c r="R808" s="275"/>
      <c r="S808" s="275"/>
    </row>
    <row r="809" spans="8:19">
      <c r="H809" s="365"/>
      <c r="I809" s="365"/>
      <c r="J809" s="365"/>
      <c r="K809" s="365"/>
      <c r="L809" s="231"/>
      <c r="M809" s="231"/>
      <c r="N809" s="231"/>
      <c r="O809" s="231"/>
      <c r="P809" s="275"/>
      <c r="Q809" s="275"/>
      <c r="R809" s="275"/>
      <c r="S809" s="275"/>
    </row>
    <row r="810" spans="8:19">
      <c r="H810" s="365"/>
      <c r="I810" s="365"/>
      <c r="J810" s="365"/>
      <c r="K810" s="365"/>
      <c r="L810" s="231"/>
      <c r="M810" s="231"/>
      <c r="N810" s="231"/>
      <c r="O810" s="231"/>
      <c r="P810" s="275"/>
      <c r="Q810" s="275"/>
      <c r="R810" s="275"/>
      <c r="S810" s="275"/>
    </row>
    <row r="811" spans="8:19">
      <c r="H811" s="365"/>
      <c r="I811" s="365"/>
      <c r="J811" s="365"/>
      <c r="K811" s="365"/>
      <c r="L811" s="231"/>
      <c r="M811" s="231"/>
      <c r="N811" s="231"/>
      <c r="O811" s="231"/>
      <c r="P811" s="275"/>
      <c r="Q811" s="275"/>
      <c r="R811" s="275"/>
      <c r="S811" s="275"/>
    </row>
    <row r="812" spans="8:19">
      <c r="H812" s="365"/>
      <c r="I812" s="365"/>
      <c r="J812" s="365"/>
      <c r="K812" s="365"/>
      <c r="L812" s="231"/>
      <c r="M812" s="231"/>
      <c r="N812" s="231"/>
      <c r="O812" s="231"/>
      <c r="P812" s="275"/>
      <c r="Q812" s="275"/>
      <c r="R812" s="275"/>
      <c r="S812" s="275"/>
    </row>
    <row r="813" spans="8:19">
      <c r="H813" s="365"/>
      <c r="I813" s="365"/>
      <c r="J813" s="365"/>
      <c r="K813" s="365"/>
      <c r="L813" s="231"/>
      <c r="M813" s="231"/>
      <c r="N813" s="231"/>
      <c r="O813" s="231"/>
      <c r="P813" s="275"/>
      <c r="Q813" s="275"/>
      <c r="R813" s="275"/>
      <c r="S813" s="275"/>
    </row>
    <row r="814" spans="8:19">
      <c r="H814" s="365"/>
      <c r="I814" s="365"/>
      <c r="J814" s="365"/>
      <c r="K814" s="365"/>
      <c r="L814" s="231"/>
      <c r="M814" s="231"/>
      <c r="N814" s="231"/>
      <c r="O814" s="231"/>
      <c r="P814" s="275"/>
      <c r="Q814" s="275"/>
      <c r="R814" s="275"/>
      <c r="S814" s="275"/>
    </row>
    <row r="815" spans="8:19">
      <c r="H815" s="365"/>
      <c r="I815" s="365"/>
      <c r="J815" s="365"/>
      <c r="K815" s="365"/>
      <c r="L815" s="231"/>
      <c r="M815" s="231"/>
      <c r="N815" s="231"/>
      <c r="O815" s="231"/>
      <c r="P815" s="275"/>
      <c r="Q815" s="275"/>
      <c r="R815" s="275"/>
      <c r="S815" s="275"/>
    </row>
    <row r="816" spans="8:19">
      <c r="H816" s="365"/>
      <c r="I816" s="365"/>
      <c r="J816" s="365"/>
      <c r="K816" s="365"/>
      <c r="L816" s="231"/>
      <c r="M816" s="231"/>
      <c r="N816" s="231"/>
      <c r="O816" s="231"/>
      <c r="P816" s="275"/>
      <c r="Q816" s="275"/>
      <c r="R816" s="275"/>
      <c r="S816" s="275"/>
    </row>
    <row r="817" spans="8:19">
      <c r="H817" s="365"/>
      <c r="I817" s="365"/>
      <c r="J817" s="365"/>
      <c r="K817" s="365"/>
      <c r="L817" s="231"/>
      <c r="M817" s="231"/>
      <c r="N817" s="231"/>
      <c r="O817" s="231"/>
      <c r="P817" s="275"/>
      <c r="Q817" s="275"/>
      <c r="R817" s="275"/>
      <c r="S817" s="275"/>
    </row>
    <row r="818" spans="8:19">
      <c r="H818" s="365"/>
      <c r="I818" s="365"/>
      <c r="J818" s="365"/>
      <c r="K818" s="365"/>
      <c r="L818" s="231"/>
      <c r="M818" s="231"/>
      <c r="N818" s="231"/>
      <c r="O818" s="231"/>
      <c r="P818" s="275"/>
      <c r="Q818" s="275"/>
      <c r="R818" s="275"/>
      <c r="S818" s="275"/>
    </row>
    <row r="819" spans="8:19">
      <c r="H819" s="365"/>
      <c r="I819" s="365"/>
      <c r="J819" s="365"/>
      <c r="K819" s="365"/>
      <c r="L819" s="231"/>
      <c r="M819" s="231"/>
      <c r="N819" s="231"/>
      <c r="O819" s="231"/>
      <c r="P819" s="275"/>
      <c r="Q819" s="275"/>
      <c r="R819" s="275"/>
      <c r="S819" s="275"/>
    </row>
    <row r="820" spans="8:19">
      <c r="H820" s="365"/>
      <c r="I820" s="365"/>
      <c r="J820" s="365"/>
      <c r="K820" s="365"/>
      <c r="L820" s="231"/>
      <c r="M820" s="231"/>
      <c r="N820" s="231"/>
      <c r="O820" s="231"/>
      <c r="P820" s="275"/>
      <c r="Q820" s="275"/>
      <c r="R820" s="275"/>
      <c r="S820" s="275"/>
    </row>
    <row r="821" spans="8:19">
      <c r="H821" s="365"/>
      <c r="I821" s="365"/>
      <c r="J821" s="365"/>
      <c r="K821" s="365"/>
      <c r="L821" s="231"/>
      <c r="M821" s="231"/>
      <c r="N821" s="231"/>
      <c r="O821" s="231"/>
      <c r="P821" s="275"/>
      <c r="Q821" s="275"/>
      <c r="R821" s="275"/>
      <c r="S821" s="275"/>
    </row>
    <row r="822" spans="8:19">
      <c r="H822" s="365"/>
      <c r="I822" s="365"/>
      <c r="J822" s="365"/>
      <c r="K822" s="365"/>
      <c r="L822" s="231"/>
      <c r="M822" s="231"/>
      <c r="N822" s="231"/>
      <c r="O822" s="231"/>
      <c r="P822" s="275"/>
      <c r="Q822" s="275"/>
      <c r="R822" s="275"/>
      <c r="S822" s="275"/>
    </row>
    <row r="823" spans="8:19">
      <c r="H823" s="365"/>
      <c r="I823" s="365"/>
      <c r="J823" s="365"/>
      <c r="K823" s="365"/>
      <c r="L823" s="231"/>
      <c r="M823" s="231"/>
      <c r="N823" s="231"/>
      <c r="O823" s="231"/>
      <c r="P823" s="275"/>
      <c r="Q823" s="275"/>
      <c r="R823" s="275"/>
      <c r="S823" s="275"/>
    </row>
    <row r="824" spans="8:19">
      <c r="H824" s="365"/>
      <c r="I824" s="365"/>
      <c r="J824" s="365"/>
      <c r="K824" s="365"/>
      <c r="L824" s="231"/>
      <c r="M824" s="231"/>
      <c r="N824" s="231"/>
      <c r="O824" s="231"/>
      <c r="P824" s="275"/>
      <c r="Q824" s="275"/>
      <c r="R824" s="275"/>
      <c r="S824" s="275"/>
    </row>
    <row r="825" spans="8:19">
      <c r="H825" s="365"/>
      <c r="I825" s="365"/>
      <c r="J825" s="365"/>
      <c r="K825" s="365"/>
      <c r="L825" s="231"/>
      <c r="M825" s="231"/>
      <c r="N825" s="231"/>
      <c r="O825" s="231"/>
      <c r="P825" s="275"/>
      <c r="Q825" s="275"/>
      <c r="R825" s="275"/>
      <c r="S825" s="275"/>
    </row>
    <row r="826" spans="8:19">
      <c r="H826" s="365"/>
      <c r="I826" s="365"/>
      <c r="J826" s="365"/>
      <c r="K826" s="365"/>
      <c r="L826" s="231"/>
      <c r="M826" s="231"/>
      <c r="N826" s="231"/>
      <c r="O826" s="231"/>
      <c r="P826" s="275"/>
      <c r="Q826" s="275"/>
      <c r="R826" s="275"/>
      <c r="S826" s="275"/>
    </row>
    <row r="827" spans="8:19">
      <c r="H827" s="365"/>
      <c r="I827" s="365"/>
      <c r="J827" s="365"/>
      <c r="K827" s="365"/>
      <c r="L827" s="231"/>
      <c r="M827" s="231"/>
      <c r="N827" s="231"/>
      <c r="O827" s="231"/>
      <c r="P827" s="275"/>
      <c r="Q827" s="275"/>
      <c r="R827" s="275"/>
      <c r="S827" s="275"/>
    </row>
    <row r="828" spans="8:19">
      <c r="H828" s="365"/>
      <c r="I828" s="365"/>
      <c r="J828" s="365"/>
      <c r="K828" s="365"/>
      <c r="L828" s="231"/>
      <c r="M828" s="231"/>
      <c r="N828" s="231"/>
      <c r="O828" s="231"/>
      <c r="P828" s="275"/>
      <c r="Q828" s="275"/>
      <c r="R828" s="275"/>
      <c r="S828" s="275"/>
    </row>
    <row r="829" spans="8:19">
      <c r="H829" s="365"/>
      <c r="I829" s="365"/>
      <c r="J829" s="365"/>
      <c r="K829" s="365"/>
      <c r="L829" s="231"/>
      <c r="M829" s="231"/>
      <c r="N829" s="231"/>
      <c r="O829" s="231"/>
      <c r="P829" s="275"/>
      <c r="Q829" s="275"/>
      <c r="R829" s="275"/>
      <c r="S829" s="275"/>
    </row>
    <row r="830" spans="8:19">
      <c r="H830" s="365"/>
      <c r="I830" s="365"/>
      <c r="J830" s="365"/>
      <c r="K830" s="365"/>
      <c r="L830" s="231"/>
      <c r="M830" s="231"/>
      <c r="N830" s="231"/>
      <c r="O830" s="231"/>
      <c r="P830" s="275"/>
      <c r="Q830" s="275"/>
      <c r="R830" s="275"/>
      <c r="S830" s="275"/>
    </row>
    <row r="831" spans="8:19">
      <c r="H831" s="365"/>
      <c r="I831" s="365"/>
      <c r="J831" s="365"/>
      <c r="K831" s="365"/>
      <c r="L831" s="231"/>
      <c r="M831" s="231"/>
      <c r="N831" s="231"/>
      <c r="O831" s="231"/>
      <c r="P831" s="275"/>
      <c r="Q831" s="275"/>
      <c r="R831" s="275"/>
      <c r="S831" s="275"/>
    </row>
    <row r="832" spans="8:19">
      <c r="H832" s="365"/>
      <c r="I832" s="365"/>
      <c r="J832" s="365"/>
      <c r="K832" s="365"/>
      <c r="L832" s="231"/>
      <c r="M832" s="231"/>
      <c r="N832" s="231"/>
      <c r="O832" s="231"/>
      <c r="P832" s="275"/>
      <c r="Q832" s="275"/>
      <c r="R832" s="275"/>
      <c r="S832" s="275"/>
    </row>
    <row r="833" spans="8:19">
      <c r="H833" s="365"/>
      <c r="I833" s="365"/>
      <c r="J833" s="365"/>
      <c r="K833" s="365"/>
      <c r="L833" s="231"/>
      <c r="M833" s="231"/>
      <c r="N833" s="231"/>
      <c r="O833" s="231"/>
      <c r="P833" s="275"/>
      <c r="Q833" s="275"/>
      <c r="R833" s="275"/>
      <c r="S833" s="275"/>
    </row>
    <row r="834" spans="8:19">
      <c r="H834" s="365"/>
      <c r="I834" s="365"/>
      <c r="J834" s="365"/>
      <c r="K834" s="365"/>
      <c r="L834" s="231"/>
      <c r="M834" s="231"/>
      <c r="N834" s="231"/>
      <c r="O834" s="231"/>
      <c r="P834" s="275"/>
      <c r="Q834" s="275"/>
      <c r="R834" s="275"/>
      <c r="S834" s="275"/>
    </row>
    <row r="835" spans="8:19">
      <c r="H835" s="365"/>
      <c r="I835" s="365"/>
      <c r="J835" s="365"/>
      <c r="K835" s="365"/>
      <c r="L835" s="231"/>
      <c r="M835" s="231"/>
      <c r="N835" s="231"/>
      <c r="O835" s="231"/>
      <c r="P835" s="275"/>
      <c r="Q835" s="275"/>
      <c r="R835" s="275"/>
      <c r="S835" s="275"/>
    </row>
    <row r="836" spans="8:19">
      <c r="H836" s="365"/>
      <c r="I836" s="365"/>
      <c r="J836" s="365"/>
      <c r="K836" s="365"/>
      <c r="L836" s="231"/>
      <c r="M836" s="231"/>
      <c r="N836" s="231"/>
      <c r="O836" s="231"/>
      <c r="P836" s="275"/>
      <c r="Q836" s="275"/>
      <c r="R836" s="275"/>
      <c r="S836" s="275"/>
    </row>
    <row r="837" spans="8:19">
      <c r="H837" s="365"/>
      <c r="I837" s="365"/>
      <c r="J837" s="365"/>
      <c r="K837" s="365"/>
      <c r="L837" s="231"/>
      <c r="M837" s="231"/>
      <c r="N837" s="231"/>
      <c r="O837" s="231"/>
      <c r="P837" s="275"/>
      <c r="Q837" s="275"/>
      <c r="R837" s="275"/>
      <c r="S837" s="275"/>
    </row>
    <row r="838" spans="8:19">
      <c r="H838" s="365"/>
      <c r="I838" s="365"/>
      <c r="J838" s="365"/>
      <c r="K838" s="365"/>
      <c r="L838" s="231"/>
      <c r="M838" s="231"/>
      <c r="N838" s="231"/>
      <c r="O838" s="231"/>
      <c r="P838" s="275"/>
      <c r="Q838" s="275"/>
      <c r="R838" s="275"/>
      <c r="S838" s="275"/>
    </row>
    <row r="839" spans="8:19">
      <c r="H839" s="365"/>
      <c r="I839" s="365"/>
      <c r="J839" s="365"/>
      <c r="K839" s="365"/>
      <c r="L839" s="231"/>
      <c r="M839" s="231"/>
      <c r="N839" s="231"/>
      <c r="O839" s="231"/>
      <c r="P839" s="275"/>
      <c r="Q839" s="275"/>
      <c r="R839" s="275"/>
      <c r="S839" s="275"/>
    </row>
  </sheetData>
  <customSheetViews>
    <customSheetView guid="{77D4B8AA-2D12-454E-8920-2F102814BFC0}" scale="75" showPageBreaks="1" showAutoFilter="1" hiddenColumns="1" showRuler="0">
      <pane xSplit="10" ySplit="11" topLeftCell="L72" activePane="bottomRight" state="frozen"/>
      <selection pane="bottomRight" activeCell="O73" sqref="O73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1"/>
      <headerFooter alignWithMargins="0">
        <oddFooter>Страница &amp;P</oddFooter>
      </headerFooter>
      <autoFilter ref="B1:G1"/>
    </customSheetView>
    <customSheetView guid="{0F955BED-3AA5-4ED9-8747-25E63CDA70F7}" showAutoFilter="1" hiddenRows="1" hiddenColumns="1" showRuler="0">
      <pane xSplit="10" ySplit="11" topLeftCell="L470" activePane="bottomRight" state="frozen"/>
      <selection pane="bottomRight" activeCell="A475" sqref="A475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2"/>
      <headerFooter alignWithMargins="0">
        <oddFooter>Страница &amp;P</oddFooter>
      </headerFooter>
      <autoFilter ref="B1:G1"/>
    </customSheetView>
    <customSheetView guid="{F999748C-9832-11D8-83FB-00E04C392051}" showAutoFilter="1" hiddenRows="1" hiddenColumns="1" showRuler="0">
      <pane xSplit="10" ySplit="11" topLeftCell="L234" activePane="bottomRight" state="frozen"/>
      <selection pane="bottomRight" activeCell="N237" sqref="N237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3"/>
      <headerFooter alignWithMargins="0">
        <oddFooter>Страница &amp;P</oddFooter>
      </headerFooter>
      <autoFilter ref="B1:G1"/>
    </customSheetView>
    <customSheetView guid="{1CCF9464-AEC0-4C0F-98A5-E7B17D04C7EE}" showPageBreaks="1" showAutoFilter="1" hiddenColumns="1" showRuler="0">
      <pane xSplit="10" ySplit="11" topLeftCell="Q291" activePane="bottomRight" state="frozen"/>
      <selection pane="bottomRight" activeCell="T7" sqref="T7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4"/>
      <headerFooter alignWithMargins="0">
        <oddFooter>Страница &amp;P</oddFooter>
      </headerFooter>
      <autoFilter ref="B1:G1"/>
    </customSheetView>
    <customSheetView guid="{4D3410BB-2371-487E-AAF7-AC8AFE6E56CA}" showPageBreaks="1" showAutoFilter="1" hiddenColumns="1" showRuler="0" topLeftCell="L579">
      <selection activeCell="M586" sqref="M586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5"/>
      <headerFooter alignWithMargins="0">
        <oddFooter>Страница &amp;P</oddFooter>
      </headerFooter>
      <autoFilter ref="B1:G1"/>
    </customSheetView>
  </customSheetViews>
  <mergeCells count="49">
    <mergeCell ref="R309:S309"/>
    <mergeCell ref="T29:T30"/>
    <mergeCell ref="T84:X84"/>
    <mergeCell ref="A301:S301"/>
    <mergeCell ref="T273:W273"/>
    <mergeCell ref="T85:U85"/>
    <mergeCell ref="A32:S32"/>
    <mergeCell ref="A63:S63"/>
    <mergeCell ref="A300:S300"/>
    <mergeCell ref="A295:S295"/>
    <mergeCell ref="A99:S99"/>
    <mergeCell ref="A142:S142"/>
    <mergeCell ref="A291:S291"/>
    <mergeCell ref="A271:S271"/>
    <mergeCell ref="A148:S148"/>
    <mergeCell ref="A270:S270"/>
    <mergeCell ref="A208:S208"/>
    <mergeCell ref="A72:S72"/>
    <mergeCell ref="A160:S160"/>
    <mergeCell ref="A168:S168"/>
    <mergeCell ref="A207:S207"/>
    <mergeCell ref="A94:S94"/>
    <mergeCell ref="A80:S80"/>
    <mergeCell ref="A14:S14"/>
    <mergeCell ref="A13:S13"/>
    <mergeCell ref="A128:S128"/>
    <mergeCell ref="A150:S150"/>
    <mergeCell ref="A171:S171"/>
    <mergeCell ref="B4:B5"/>
    <mergeCell ref="L4:L5"/>
    <mergeCell ref="M4:M5"/>
    <mergeCell ref="A3:S3"/>
    <mergeCell ref="A4:A5"/>
    <mergeCell ref="A306:S306"/>
    <mergeCell ref="R316:S316"/>
    <mergeCell ref="A2:S2"/>
    <mergeCell ref="N4:N5"/>
    <mergeCell ref="A120:S120"/>
    <mergeCell ref="A39:S39"/>
    <mergeCell ref="A46:S46"/>
    <mergeCell ref="A52:S52"/>
    <mergeCell ref="R4:R5"/>
    <mergeCell ref="A6:S6"/>
    <mergeCell ref="A33:S33"/>
    <mergeCell ref="P4:P5"/>
    <mergeCell ref="Q4:Q5"/>
    <mergeCell ref="A15:S15"/>
    <mergeCell ref="A16:S16"/>
    <mergeCell ref="A18:S18"/>
  </mergeCells>
  <phoneticPr fontId="0" type="noConversion"/>
  <printOptions horizontalCentered="1"/>
  <pageMargins left="0.15748031496062992" right="0.23622047244094491" top="0.17" bottom="0.27559055118110237" header="0" footer="0.35433070866141736"/>
  <pageSetup paperSize="9" scale="69" orientation="portrait" r:id="rId6"/>
  <headerFooter alignWithMargins="0"/>
  <rowBreaks count="1" manualBreakCount="1">
    <brk id="182" max="18" man="1"/>
  </rowBreaks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G105"/>
  <sheetViews>
    <sheetView zoomScaleNormal="55" zoomScaleSheetLayoutView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/>
  <cols>
    <col min="1" max="1" width="5.5703125" customWidth="1"/>
    <col min="2" max="2" width="84.42578125" customWidth="1"/>
    <col min="3" max="3" width="15.140625" bestFit="1" customWidth="1"/>
    <col min="4" max="7" width="10" bestFit="1" customWidth="1"/>
  </cols>
  <sheetData>
    <row r="1" spans="1:7" ht="15.75">
      <c r="A1" s="45"/>
      <c r="B1" s="8" t="s">
        <v>207</v>
      </c>
      <c r="C1" s="43"/>
      <c r="D1" s="44"/>
    </row>
    <row r="2" spans="1:7">
      <c r="B2" s="8" t="s">
        <v>589</v>
      </c>
      <c r="C2" s="8"/>
      <c r="D2" s="8"/>
    </row>
    <row r="3" spans="1:7" ht="13.5" thickBot="1">
      <c r="B3" t="s">
        <v>590</v>
      </c>
    </row>
    <row r="4" spans="1:7" ht="33" thickTop="1" thickBot="1">
      <c r="A4" s="47" t="s">
        <v>248</v>
      </c>
      <c r="B4" s="51"/>
      <c r="C4" s="52" t="s">
        <v>263</v>
      </c>
      <c r="D4" s="52" t="s">
        <v>376</v>
      </c>
      <c r="E4" s="52" t="s">
        <v>210</v>
      </c>
      <c r="F4" s="52" t="s">
        <v>209</v>
      </c>
      <c r="G4" s="53" t="s">
        <v>208</v>
      </c>
    </row>
    <row r="5" spans="1:7" ht="32.25" thickTop="1">
      <c r="A5" s="505" t="s">
        <v>591</v>
      </c>
      <c r="B5" s="67" t="s">
        <v>377</v>
      </c>
      <c r="C5" s="68" t="s">
        <v>594</v>
      </c>
      <c r="D5" s="85"/>
      <c r="E5" s="85"/>
      <c r="F5" s="86"/>
      <c r="G5" s="87"/>
    </row>
    <row r="6" spans="1:7" ht="15.75">
      <c r="A6" s="506"/>
      <c r="B6" s="67" t="s">
        <v>378</v>
      </c>
      <c r="C6" s="70" t="s">
        <v>379</v>
      </c>
      <c r="D6" s="85"/>
      <c r="E6" s="85"/>
      <c r="F6" s="86"/>
      <c r="G6" s="87"/>
    </row>
    <row r="7" spans="1:7" ht="31.5">
      <c r="A7" s="506"/>
      <c r="B7" s="67" t="s">
        <v>181</v>
      </c>
      <c r="C7" s="68" t="s">
        <v>380</v>
      </c>
      <c r="D7" s="85"/>
      <c r="E7" s="85"/>
      <c r="F7" s="88"/>
      <c r="G7" s="89"/>
    </row>
    <row r="8" spans="1:7" ht="15.75">
      <c r="A8" s="71"/>
      <c r="B8" s="67"/>
      <c r="C8" s="68"/>
      <c r="D8" s="68"/>
      <c r="E8" s="68"/>
      <c r="F8" s="68"/>
      <c r="G8" s="90"/>
    </row>
    <row r="9" spans="1:7" ht="31.5">
      <c r="A9" s="506" t="s">
        <v>381</v>
      </c>
      <c r="B9" s="67" t="s">
        <v>382</v>
      </c>
      <c r="C9" s="68"/>
      <c r="D9" s="68"/>
      <c r="E9" s="68"/>
      <c r="F9" s="68"/>
      <c r="G9" s="90"/>
    </row>
    <row r="10" spans="1:7" ht="15.75">
      <c r="A10" s="506"/>
      <c r="B10" s="67" t="s">
        <v>383</v>
      </c>
      <c r="C10" s="68" t="s">
        <v>594</v>
      </c>
      <c r="D10" s="85"/>
      <c r="E10" s="85"/>
      <c r="F10" s="68"/>
      <c r="G10" s="91"/>
    </row>
    <row r="11" spans="1:7" ht="15.75">
      <c r="A11" s="506"/>
      <c r="B11" s="67" t="s">
        <v>384</v>
      </c>
      <c r="C11" s="70" t="s">
        <v>379</v>
      </c>
      <c r="D11" s="85"/>
      <c r="E11" s="85"/>
      <c r="F11" s="68"/>
      <c r="G11" s="90"/>
    </row>
    <row r="12" spans="1:7" ht="31.5">
      <c r="A12" s="71"/>
      <c r="B12" s="67" t="s">
        <v>385</v>
      </c>
      <c r="C12" s="68" t="s">
        <v>380</v>
      </c>
      <c r="D12" s="85"/>
      <c r="E12" s="85"/>
      <c r="F12" s="68"/>
      <c r="G12" s="90"/>
    </row>
    <row r="13" spans="1:7" ht="15.75">
      <c r="A13" s="72"/>
      <c r="B13" s="67"/>
      <c r="C13" s="68"/>
      <c r="D13" s="68"/>
      <c r="E13" s="68"/>
      <c r="F13" s="68"/>
      <c r="G13" s="90"/>
    </row>
    <row r="14" spans="1:7" ht="31.5">
      <c r="A14" s="69" t="s">
        <v>386</v>
      </c>
      <c r="B14" s="67" t="s">
        <v>387</v>
      </c>
      <c r="C14" s="68" t="s">
        <v>594</v>
      </c>
      <c r="D14" s="85"/>
      <c r="E14" s="85"/>
      <c r="F14" s="68"/>
      <c r="G14" s="90"/>
    </row>
    <row r="15" spans="1:7" ht="15.75">
      <c r="A15" s="69"/>
      <c r="B15" s="67" t="s">
        <v>388</v>
      </c>
      <c r="C15" s="70" t="s">
        <v>379</v>
      </c>
      <c r="D15" s="85"/>
      <c r="E15" s="85"/>
      <c r="F15" s="68"/>
      <c r="G15" s="90"/>
    </row>
    <row r="16" spans="1:7" ht="15.75">
      <c r="A16" s="69"/>
      <c r="B16" s="67" t="s">
        <v>389</v>
      </c>
      <c r="C16" s="68" t="s">
        <v>380</v>
      </c>
      <c r="D16" s="85"/>
      <c r="E16" s="85"/>
      <c r="F16" s="68"/>
      <c r="G16" s="90"/>
    </row>
    <row r="17" spans="1:7" ht="15.75">
      <c r="A17" s="71"/>
      <c r="B17" s="67"/>
      <c r="C17" s="68"/>
      <c r="D17" s="68"/>
      <c r="E17" s="68"/>
      <c r="F17" s="68"/>
      <c r="G17" s="90"/>
    </row>
    <row r="18" spans="1:7" ht="31.5">
      <c r="A18" s="506" t="s">
        <v>390</v>
      </c>
      <c r="B18" s="67" t="s">
        <v>391</v>
      </c>
      <c r="C18" s="68" t="s">
        <v>392</v>
      </c>
      <c r="D18" s="85"/>
      <c r="E18" s="85"/>
      <c r="F18" s="68"/>
      <c r="G18" s="90"/>
    </row>
    <row r="19" spans="1:7" ht="15.75">
      <c r="A19" s="506"/>
      <c r="B19" s="73" t="s">
        <v>251</v>
      </c>
      <c r="C19" s="70"/>
      <c r="D19" s="85"/>
      <c r="E19" s="85"/>
      <c r="F19" s="68"/>
      <c r="G19" s="90"/>
    </row>
    <row r="20" spans="1:7" ht="15.75">
      <c r="A20" s="506"/>
      <c r="B20" s="73" t="s">
        <v>277</v>
      </c>
      <c r="C20" s="70" t="s">
        <v>593</v>
      </c>
      <c r="D20" s="85"/>
      <c r="E20" s="85"/>
      <c r="F20" s="68"/>
      <c r="G20" s="90"/>
    </row>
    <row r="21" spans="1:7" ht="15.75">
      <c r="A21" s="506"/>
      <c r="B21" s="73" t="s">
        <v>556</v>
      </c>
      <c r="C21" s="70" t="s">
        <v>593</v>
      </c>
      <c r="D21" s="85"/>
      <c r="E21" s="85"/>
      <c r="F21" s="68"/>
      <c r="G21" s="90"/>
    </row>
    <row r="22" spans="1:7" ht="15.75">
      <c r="A22" s="506"/>
      <c r="B22" s="73" t="s">
        <v>557</v>
      </c>
      <c r="C22" s="70" t="s">
        <v>593</v>
      </c>
      <c r="D22" s="85"/>
      <c r="E22" s="85"/>
      <c r="F22" s="68"/>
      <c r="G22" s="90"/>
    </row>
    <row r="23" spans="1:7" ht="15.75">
      <c r="A23" s="506"/>
      <c r="B23" s="73" t="s">
        <v>558</v>
      </c>
      <c r="C23" s="70" t="s">
        <v>593</v>
      </c>
      <c r="D23" s="85"/>
      <c r="E23" s="85"/>
      <c r="F23" s="68"/>
      <c r="G23" s="90"/>
    </row>
    <row r="24" spans="1:7" ht="15.75">
      <c r="A24" s="506"/>
      <c r="B24" s="73" t="s">
        <v>278</v>
      </c>
      <c r="C24" s="70" t="s">
        <v>593</v>
      </c>
      <c r="D24" s="85"/>
      <c r="E24" s="85"/>
      <c r="F24" s="68"/>
      <c r="G24" s="90"/>
    </row>
    <row r="25" spans="1:7" ht="31.5">
      <c r="A25" s="506"/>
      <c r="B25" s="67" t="s">
        <v>393</v>
      </c>
      <c r="C25" s="68" t="s">
        <v>380</v>
      </c>
      <c r="D25" s="85"/>
      <c r="E25" s="85"/>
      <c r="F25" s="68"/>
      <c r="G25" s="90"/>
    </row>
    <row r="26" spans="1:7" ht="15.75">
      <c r="A26" s="69"/>
      <c r="B26" s="67"/>
      <c r="C26" s="68"/>
      <c r="D26" s="85"/>
      <c r="E26" s="85"/>
      <c r="F26" s="68"/>
      <c r="G26" s="90"/>
    </row>
    <row r="27" spans="1:7" ht="15.75">
      <c r="A27" s="506" t="s">
        <v>394</v>
      </c>
      <c r="B27" s="67" t="s">
        <v>395</v>
      </c>
      <c r="C27" s="68" t="s">
        <v>396</v>
      </c>
      <c r="D27" s="85"/>
      <c r="E27" s="85"/>
      <c r="F27" s="68"/>
      <c r="G27" s="90"/>
    </row>
    <row r="28" spans="1:7" ht="15.75">
      <c r="A28" s="506"/>
      <c r="B28" s="73" t="s">
        <v>251</v>
      </c>
      <c r="C28" s="68"/>
      <c r="D28" s="85"/>
      <c r="E28" s="85"/>
      <c r="F28" s="68"/>
      <c r="G28" s="90"/>
    </row>
    <row r="29" spans="1:7" ht="15.75">
      <c r="A29" s="506"/>
      <c r="B29" s="73" t="s">
        <v>277</v>
      </c>
      <c r="C29" s="68" t="s">
        <v>396</v>
      </c>
      <c r="D29" s="85"/>
      <c r="E29" s="85"/>
      <c r="F29" s="68"/>
      <c r="G29" s="90"/>
    </row>
    <row r="30" spans="1:7" ht="15.75">
      <c r="A30" s="506"/>
      <c r="B30" s="73" t="s">
        <v>556</v>
      </c>
      <c r="C30" s="68" t="s">
        <v>396</v>
      </c>
      <c r="D30" s="85"/>
      <c r="E30" s="85"/>
      <c r="F30" s="68"/>
      <c r="G30" s="90"/>
    </row>
    <row r="31" spans="1:7" ht="15.75">
      <c r="A31" s="506"/>
      <c r="B31" s="73" t="s">
        <v>557</v>
      </c>
      <c r="C31" s="68" t="s">
        <v>396</v>
      </c>
      <c r="D31" s="85"/>
      <c r="E31" s="85"/>
      <c r="F31" s="68"/>
      <c r="G31" s="90"/>
    </row>
    <row r="32" spans="1:7" ht="15.75">
      <c r="A32" s="506"/>
      <c r="B32" s="73" t="s">
        <v>558</v>
      </c>
      <c r="C32" s="68" t="s">
        <v>396</v>
      </c>
      <c r="D32" s="85"/>
      <c r="E32" s="85"/>
      <c r="F32" s="68"/>
      <c r="G32" s="90"/>
    </row>
    <row r="33" spans="1:7" ht="15.75">
      <c r="A33" s="506"/>
      <c r="B33" s="73" t="s">
        <v>278</v>
      </c>
      <c r="C33" s="68" t="s">
        <v>396</v>
      </c>
      <c r="D33" s="85"/>
      <c r="E33" s="85"/>
      <c r="F33" s="68"/>
      <c r="G33" s="90"/>
    </row>
    <row r="34" spans="1:7" ht="15.75">
      <c r="A34" s="72"/>
      <c r="B34" s="73"/>
      <c r="C34" s="68"/>
      <c r="D34" s="85"/>
      <c r="E34" s="85"/>
      <c r="F34" s="68"/>
      <c r="G34" s="90"/>
    </row>
    <row r="35" spans="1:7" ht="15.75">
      <c r="A35" s="506" t="s">
        <v>592</v>
      </c>
      <c r="B35" s="507" t="s">
        <v>397</v>
      </c>
      <c r="C35" s="68" t="s">
        <v>594</v>
      </c>
      <c r="D35" s="85"/>
      <c r="E35" s="85"/>
      <c r="F35" s="68"/>
      <c r="G35" s="90"/>
    </row>
    <row r="36" spans="1:7" ht="15.75">
      <c r="A36" s="506"/>
      <c r="B36" s="508"/>
      <c r="C36" s="70" t="s">
        <v>379</v>
      </c>
      <c r="D36" s="85"/>
      <c r="E36" s="85"/>
      <c r="F36" s="68"/>
      <c r="G36" s="90"/>
    </row>
    <row r="37" spans="1:7" ht="15.75">
      <c r="A37" s="506"/>
      <c r="B37" s="67" t="s">
        <v>398</v>
      </c>
      <c r="C37" s="68"/>
      <c r="D37" s="85"/>
      <c r="E37" s="85"/>
      <c r="F37" s="68"/>
      <c r="G37" s="90"/>
    </row>
    <row r="38" spans="1:7" ht="15.75">
      <c r="A38" s="506"/>
      <c r="B38" s="507" t="s">
        <v>399</v>
      </c>
      <c r="C38" s="68" t="s">
        <v>594</v>
      </c>
      <c r="D38" s="85"/>
      <c r="E38" s="85"/>
      <c r="F38" s="68"/>
      <c r="G38" s="90"/>
    </row>
    <row r="39" spans="1:7" ht="15.75">
      <c r="A39" s="506"/>
      <c r="B39" s="507"/>
      <c r="C39" s="70" t="s">
        <v>379</v>
      </c>
      <c r="D39" s="85"/>
      <c r="E39" s="85"/>
      <c r="F39" s="68"/>
      <c r="G39" s="90"/>
    </row>
    <row r="40" spans="1:7" ht="15.75">
      <c r="A40" s="506"/>
      <c r="B40" s="507" t="s">
        <v>400</v>
      </c>
      <c r="C40" s="68" t="s">
        <v>594</v>
      </c>
      <c r="D40" s="85"/>
      <c r="E40" s="85"/>
      <c r="F40" s="68"/>
      <c r="G40" s="90"/>
    </row>
    <row r="41" spans="1:7" ht="15.75">
      <c r="A41" s="506"/>
      <c r="B41" s="507"/>
      <c r="C41" s="70" t="s">
        <v>379</v>
      </c>
      <c r="D41" s="85"/>
      <c r="E41" s="85"/>
      <c r="F41" s="68"/>
      <c r="G41" s="90"/>
    </row>
    <row r="42" spans="1:7" ht="15.75">
      <c r="A42" s="506"/>
      <c r="B42" s="507" t="s">
        <v>401</v>
      </c>
      <c r="C42" s="68" t="s">
        <v>594</v>
      </c>
      <c r="D42" s="85"/>
      <c r="E42" s="85"/>
      <c r="F42" s="68"/>
      <c r="G42" s="90"/>
    </row>
    <row r="43" spans="1:7" ht="15.75">
      <c r="A43" s="506"/>
      <c r="B43" s="507"/>
      <c r="C43" s="70" t="s">
        <v>379</v>
      </c>
      <c r="D43" s="85"/>
      <c r="E43" s="85"/>
      <c r="F43" s="68"/>
      <c r="G43" s="90"/>
    </row>
    <row r="44" spans="1:7" ht="15.75">
      <c r="A44" s="506"/>
      <c r="B44" s="507" t="s">
        <v>402</v>
      </c>
      <c r="C44" s="68" t="s">
        <v>594</v>
      </c>
      <c r="D44" s="85"/>
      <c r="E44" s="85"/>
      <c r="F44" s="68"/>
      <c r="G44" s="90"/>
    </row>
    <row r="45" spans="1:7" ht="15.75">
      <c r="A45" s="506"/>
      <c r="B45" s="507"/>
      <c r="C45" s="70" t="s">
        <v>379</v>
      </c>
      <c r="D45" s="85"/>
      <c r="E45" s="85"/>
      <c r="F45" s="68"/>
      <c r="G45" s="90"/>
    </row>
    <row r="46" spans="1:7" ht="15.75">
      <c r="A46" s="506"/>
      <c r="B46" s="507" t="s">
        <v>403</v>
      </c>
      <c r="C46" s="68" t="s">
        <v>594</v>
      </c>
      <c r="D46" s="85"/>
      <c r="E46" s="85"/>
      <c r="F46" s="68"/>
      <c r="G46" s="90"/>
    </row>
    <row r="47" spans="1:7" ht="15.75">
      <c r="A47" s="506"/>
      <c r="B47" s="507"/>
      <c r="C47" s="70" t="s">
        <v>379</v>
      </c>
      <c r="D47" s="85"/>
      <c r="E47" s="85"/>
      <c r="F47" s="68"/>
      <c r="G47" s="90"/>
    </row>
    <row r="48" spans="1:7" ht="15.75">
      <c r="A48" s="506"/>
      <c r="B48" s="507" t="s">
        <v>404</v>
      </c>
      <c r="C48" s="68" t="s">
        <v>594</v>
      </c>
      <c r="D48" s="85"/>
      <c r="E48" s="85"/>
      <c r="F48" s="68"/>
      <c r="G48" s="90"/>
    </row>
    <row r="49" spans="1:7" ht="15.75">
      <c r="A49" s="506"/>
      <c r="B49" s="507"/>
      <c r="C49" s="70" t="s">
        <v>379</v>
      </c>
      <c r="D49" s="85"/>
      <c r="E49" s="85"/>
      <c r="F49" s="68"/>
      <c r="G49" s="90"/>
    </row>
    <row r="50" spans="1:7" ht="15.75">
      <c r="A50" s="506"/>
      <c r="B50" s="507" t="s">
        <v>405</v>
      </c>
      <c r="C50" s="68" t="s">
        <v>594</v>
      </c>
      <c r="D50" s="85"/>
      <c r="E50" s="85"/>
      <c r="F50" s="68"/>
      <c r="G50" s="90"/>
    </row>
    <row r="51" spans="1:7" ht="15.75">
      <c r="A51" s="506"/>
      <c r="B51" s="507"/>
      <c r="C51" s="70" t="s">
        <v>379</v>
      </c>
      <c r="D51" s="85"/>
      <c r="E51" s="85"/>
      <c r="F51" s="68"/>
      <c r="G51" s="90"/>
    </row>
    <row r="52" spans="1:7" ht="15.75">
      <c r="A52" s="506"/>
      <c r="B52" s="507" t="s">
        <v>406</v>
      </c>
      <c r="C52" s="68" t="s">
        <v>594</v>
      </c>
      <c r="D52" s="85"/>
      <c r="E52" s="85"/>
      <c r="F52" s="68"/>
      <c r="G52" s="90"/>
    </row>
    <row r="53" spans="1:7" ht="15.75">
      <c r="A53" s="506"/>
      <c r="B53" s="507"/>
      <c r="C53" s="70" t="s">
        <v>379</v>
      </c>
      <c r="D53" s="85"/>
      <c r="E53" s="85"/>
      <c r="F53" s="68"/>
      <c r="G53" s="90"/>
    </row>
    <row r="54" spans="1:7" ht="15.75">
      <c r="A54" s="506"/>
      <c r="B54" s="507" t="s">
        <v>407</v>
      </c>
      <c r="C54" s="68" t="s">
        <v>594</v>
      </c>
      <c r="D54" s="85"/>
      <c r="E54" s="85"/>
      <c r="F54" s="85"/>
      <c r="G54" s="85"/>
    </row>
    <row r="55" spans="1:7" ht="15.75">
      <c r="A55" s="506"/>
      <c r="B55" s="507"/>
      <c r="C55" s="70" t="s">
        <v>379</v>
      </c>
      <c r="D55" s="85"/>
      <c r="E55" s="85"/>
      <c r="F55" s="85"/>
      <c r="G55" s="85"/>
    </row>
    <row r="56" spans="1:7" ht="15.75">
      <c r="A56" s="506"/>
      <c r="B56" s="507" t="s">
        <v>408</v>
      </c>
      <c r="C56" s="68" t="s">
        <v>409</v>
      </c>
      <c r="D56" s="85"/>
      <c r="E56" s="85"/>
      <c r="F56" s="68"/>
      <c r="G56" s="92"/>
    </row>
    <row r="57" spans="1:7" ht="15.75">
      <c r="A57" s="506"/>
      <c r="B57" s="507"/>
      <c r="C57" s="70" t="s">
        <v>410</v>
      </c>
      <c r="D57" s="85"/>
      <c r="E57" s="85"/>
      <c r="F57" s="68"/>
      <c r="G57" s="90"/>
    </row>
    <row r="58" spans="1:7" ht="15.75">
      <c r="A58" s="506"/>
      <c r="B58" s="507" t="s">
        <v>411</v>
      </c>
      <c r="C58" s="68" t="s">
        <v>409</v>
      </c>
      <c r="D58" s="85"/>
      <c r="E58" s="85"/>
      <c r="F58" s="68"/>
      <c r="G58" s="90"/>
    </row>
    <row r="59" spans="1:7" ht="15.75">
      <c r="A59" s="506"/>
      <c r="B59" s="507"/>
      <c r="C59" s="70" t="s">
        <v>410</v>
      </c>
      <c r="D59" s="85"/>
      <c r="E59" s="85"/>
      <c r="F59" s="68"/>
      <c r="G59" s="90"/>
    </row>
    <row r="60" spans="1:7" ht="15.75">
      <c r="A60" s="506"/>
      <c r="B60" s="507" t="s">
        <v>412</v>
      </c>
      <c r="C60" s="68" t="s">
        <v>409</v>
      </c>
      <c r="D60" s="85"/>
      <c r="E60" s="85"/>
      <c r="F60" s="68"/>
      <c r="G60" s="90"/>
    </row>
    <row r="61" spans="1:7" ht="15.75">
      <c r="A61" s="506"/>
      <c r="B61" s="507"/>
      <c r="C61" s="70" t="s">
        <v>410</v>
      </c>
      <c r="D61" s="85"/>
      <c r="E61" s="85"/>
      <c r="F61" s="68"/>
      <c r="G61" s="90"/>
    </row>
    <row r="62" spans="1:7" ht="15.75">
      <c r="A62" s="506"/>
      <c r="B62" s="507" t="s">
        <v>413</v>
      </c>
      <c r="C62" s="68" t="s">
        <v>409</v>
      </c>
      <c r="D62" s="85"/>
      <c r="E62" s="85"/>
      <c r="F62" s="68"/>
      <c r="G62" s="90"/>
    </row>
    <row r="63" spans="1:7" ht="15.75">
      <c r="A63" s="506"/>
      <c r="B63" s="507"/>
      <c r="C63" s="70" t="s">
        <v>410</v>
      </c>
      <c r="D63" s="85"/>
      <c r="E63" s="85"/>
      <c r="F63" s="68"/>
      <c r="G63" s="90"/>
    </row>
    <row r="64" spans="1:7" ht="15.75">
      <c r="A64" s="506"/>
      <c r="B64" s="67" t="s">
        <v>414</v>
      </c>
      <c r="C64" s="68" t="s">
        <v>380</v>
      </c>
      <c r="D64" s="85"/>
      <c r="E64" s="85"/>
      <c r="F64" s="86"/>
      <c r="G64" s="87"/>
    </row>
    <row r="65" spans="1:7" ht="15.75">
      <c r="A65" s="506"/>
      <c r="B65" s="67" t="s">
        <v>280</v>
      </c>
      <c r="C65" s="68"/>
      <c r="D65" s="93"/>
      <c r="E65" s="93"/>
      <c r="F65" s="94"/>
      <c r="G65" s="95"/>
    </row>
    <row r="66" spans="1:7" ht="15.75">
      <c r="A66" s="506"/>
      <c r="B66" s="67" t="s">
        <v>415</v>
      </c>
      <c r="C66" s="68" t="s">
        <v>380</v>
      </c>
      <c r="D66" s="85"/>
      <c r="E66" s="85"/>
      <c r="F66" s="68"/>
      <c r="G66" s="90"/>
    </row>
    <row r="67" spans="1:7" ht="15.75">
      <c r="A67" s="71"/>
      <c r="B67" s="67"/>
      <c r="C67" s="68"/>
      <c r="D67" s="68"/>
      <c r="E67" s="68"/>
      <c r="F67" s="68"/>
      <c r="G67" s="90"/>
    </row>
    <row r="68" spans="1:7" ht="15.75">
      <c r="A68" s="48"/>
      <c r="B68" s="509" t="s">
        <v>416</v>
      </c>
      <c r="C68" s="510"/>
      <c r="D68" s="510"/>
      <c r="E68" s="510"/>
      <c r="F68" s="49"/>
      <c r="G68" s="54"/>
    </row>
    <row r="69" spans="1:7" ht="15.75">
      <c r="A69" s="48"/>
      <c r="B69" s="55"/>
      <c r="C69" s="50"/>
      <c r="D69" s="50"/>
      <c r="E69" s="50"/>
      <c r="F69" s="49"/>
      <c r="G69" s="54"/>
    </row>
    <row r="70" spans="1:7" ht="15.75">
      <c r="A70" s="511" t="s">
        <v>417</v>
      </c>
      <c r="B70" s="74" t="s">
        <v>211</v>
      </c>
      <c r="C70" s="75" t="s">
        <v>282</v>
      </c>
      <c r="D70" s="68"/>
      <c r="E70" s="68"/>
      <c r="F70" s="68"/>
      <c r="G70" s="90"/>
    </row>
    <row r="71" spans="1:7" ht="15.75">
      <c r="A71" s="511"/>
      <c r="B71" s="74" t="s">
        <v>251</v>
      </c>
      <c r="C71" s="75"/>
      <c r="D71" s="68"/>
      <c r="E71" s="68"/>
      <c r="F71" s="68"/>
      <c r="G71" s="90"/>
    </row>
    <row r="72" spans="1:7" ht="15.75">
      <c r="A72" s="511"/>
      <c r="B72" s="74" t="s">
        <v>212</v>
      </c>
      <c r="C72" s="75" t="s">
        <v>282</v>
      </c>
      <c r="D72" s="68"/>
      <c r="E72" s="68"/>
      <c r="F72" s="68"/>
      <c r="G72" s="90"/>
    </row>
    <row r="73" spans="1:7" ht="94.5">
      <c r="A73" s="511"/>
      <c r="B73" s="74" t="s">
        <v>213</v>
      </c>
      <c r="C73" s="75" t="s">
        <v>282</v>
      </c>
      <c r="D73" s="68"/>
      <c r="E73" s="68"/>
      <c r="F73" s="68"/>
      <c r="G73" s="90"/>
    </row>
    <row r="74" spans="1:7" ht="15.75">
      <c r="A74" s="511"/>
      <c r="B74" s="74" t="s">
        <v>214</v>
      </c>
      <c r="C74" s="75" t="s">
        <v>380</v>
      </c>
      <c r="D74" s="68"/>
      <c r="E74" s="68"/>
      <c r="F74" s="68"/>
      <c r="G74" s="90"/>
    </row>
    <row r="75" spans="1:7" ht="15.75">
      <c r="A75" s="511"/>
      <c r="B75" s="74" t="s">
        <v>251</v>
      </c>
      <c r="C75" s="75"/>
      <c r="D75" s="68"/>
      <c r="E75" s="68"/>
      <c r="F75" s="68"/>
      <c r="G75" s="90"/>
    </row>
    <row r="76" spans="1:7" ht="15.75">
      <c r="A76" s="511"/>
      <c r="B76" s="74" t="s">
        <v>212</v>
      </c>
      <c r="C76" s="75" t="s">
        <v>279</v>
      </c>
      <c r="D76" s="68"/>
      <c r="E76" s="68"/>
      <c r="F76" s="68"/>
      <c r="G76" s="90"/>
    </row>
    <row r="77" spans="1:7" ht="15.75">
      <c r="A77" s="511"/>
      <c r="B77" s="74" t="s">
        <v>215</v>
      </c>
      <c r="C77" s="75" t="s">
        <v>279</v>
      </c>
      <c r="D77" s="68"/>
      <c r="E77" s="68"/>
      <c r="F77" s="68"/>
      <c r="G77" s="90"/>
    </row>
    <row r="78" spans="1:7" ht="15.75">
      <c r="A78" s="76"/>
      <c r="B78" s="74"/>
      <c r="C78" s="75"/>
      <c r="D78" s="68"/>
      <c r="E78" s="68"/>
      <c r="F78" s="68"/>
      <c r="G78" s="90"/>
    </row>
    <row r="79" spans="1:7" ht="15.75" customHeight="1">
      <c r="A79" s="511" t="s">
        <v>216</v>
      </c>
      <c r="B79" s="74" t="s">
        <v>217</v>
      </c>
      <c r="C79" s="75" t="s">
        <v>282</v>
      </c>
      <c r="D79" s="68"/>
      <c r="E79" s="68"/>
      <c r="F79" s="68"/>
      <c r="G79" s="90"/>
    </row>
    <row r="80" spans="1:7" ht="15.75">
      <c r="A80" s="511"/>
      <c r="B80" s="74"/>
      <c r="C80" s="77" t="s">
        <v>379</v>
      </c>
      <c r="D80" s="68"/>
      <c r="E80" s="68"/>
      <c r="F80" s="68"/>
      <c r="G80" s="90"/>
    </row>
    <row r="81" spans="1:7" ht="15.75">
      <c r="A81" s="511"/>
      <c r="B81" s="74" t="s">
        <v>251</v>
      </c>
      <c r="C81" s="75"/>
      <c r="D81" s="68"/>
      <c r="E81" s="68"/>
      <c r="F81" s="68"/>
      <c r="G81" s="90"/>
    </row>
    <row r="82" spans="1:7" ht="15.75">
      <c r="A82" s="511"/>
      <c r="B82" s="74" t="s">
        <v>212</v>
      </c>
      <c r="C82" s="75" t="s">
        <v>282</v>
      </c>
      <c r="D82" s="68"/>
      <c r="E82" s="68"/>
      <c r="F82" s="68"/>
      <c r="G82" s="90"/>
    </row>
    <row r="83" spans="1:7" ht="15.75">
      <c r="A83" s="511"/>
      <c r="B83" s="74"/>
      <c r="C83" s="77" t="s">
        <v>410</v>
      </c>
      <c r="D83" s="68"/>
      <c r="E83" s="68"/>
      <c r="F83" s="68"/>
      <c r="G83" s="90"/>
    </row>
    <row r="84" spans="1:7" ht="15.75">
      <c r="A84" s="76"/>
      <c r="B84" s="74"/>
      <c r="C84" s="75"/>
      <c r="D84" s="68"/>
      <c r="E84" s="68"/>
      <c r="F84" s="68"/>
      <c r="G84" s="90"/>
    </row>
    <row r="85" spans="1:7" ht="15.75">
      <c r="A85" s="511" t="s">
        <v>218</v>
      </c>
      <c r="B85" s="74" t="s">
        <v>219</v>
      </c>
      <c r="C85" s="75" t="s">
        <v>396</v>
      </c>
      <c r="D85" s="68"/>
      <c r="E85" s="68"/>
      <c r="F85" s="68"/>
      <c r="G85" s="90"/>
    </row>
    <row r="86" spans="1:7" ht="15.75">
      <c r="A86" s="511"/>
      <c r="B86" s="74" t="s">
        <v>173</v>
      </c>
      <c r="C86" s="75"/>
      <c r="D86" s="68"/>
      <c r="E86" s="68"/>
      <c r="F86" s="68"/>
      <c r="G86" s="90"/>
    </row>
    <row r="87" spans="1:7" ht="15.75">
      <c r="A87" s="511"/>
      <c r="B87" s="74" t="s">
        <v>220</v>
      </c>
      <c r="C87" s="75" t="s">
        <v>396</v>
      </c>
      <c r="D87" s="68"/>
      <c r="E87" s="68"/>
      <c r="F87" s="68"/>
      <c r="G87" s="90"/>
    </row>
    <row r="88" spans="1:7" ht="31.5">
      <c r="A88" s="511"/>
      <c r="B88" s="74" t="s">
        <v>221</v>
      </c>
      <c r="C88" s="75" t="s">
        <v>396</v>
      </c>
      <c r="D88" s="68"/>
      <c r="E88" s="68"/>
      <c r="F88" s="68"/>
      <c r="G88" s="90"/>
    </row>
    <row r="89" spans="1:7" ht="15.75">
      <c r="A89" s="511"/>
      <c r="B89" s="74" t="s">
        <v>173</v>
      </c>
      <c r="C89" s="75"/>
      <c r="D89" s="68"/>
      <c r="E89" s="68"/>
      <c r="F89" s="68"/>
      <c r="G89" s="90"/>
    </row>
    <row r="90" spans="1:7" ht="15.75">
      <c r="A90" s="511"/>
      <c r="B90" s="74" t="s">
        <v>222</v>
      </c>
      <c r="C90" s="75" t="s">
        <v>396</v>
      </c>
      <c r="D90" s="68"/>
      <c r="E90" s="68"/>
      <c r="F90" s="68"/>
      <c r="G90" s="90"/>
    </row>
    <row r="91" spans="1:7" ht="15.75">
      <c r="A91" s="76"/>
      <c r="B91" s="74"/>
      <c r="C91" s="75"/>
      <c r="D91" s="68"/>
      <c r="E91" s="68"/>
      <c r="F91" s="68"/>
      <c r="G91" s="90"/>
    </row>
    <row r="92" spans="1:7" ht="31.5">
      <c r="A92" s="511" t="s">
        <v>223</v>
      </c>
      <c r="B92" s="74" t="s">
        <v>224</v>
      </c>
      <c r="C92" s="75" t="s">
        <v>396</v>
      </c>
      <c r="D92" s="96"/>
      <c r="E92" s="96"/>
      <c r="F92" s="96"/>
      <c r="G92" s="97"/>
    </row>
    <row r="93" spans="1:7" ht="15.75">
      <c r="A93" s="511"/>
      <c r="B93" s="74" t="s">
        <v>173</v>
      </c>
      <c r="C93" s="75"/>
      <c r="D93" s="96"/>
      <c r="E93" s="96"/>
      <c r="F93" s="96"/>
      <c r="G93" s="97"/>
    </row>
    <row r="94" spans="1:7" ht="15.75">
      <c r="A94" s="511"/>
      <c r="B94" s="74" t="s">
        <v>225</v>
      </c>
      <c r="C94" s="75" t="s">
        <v>396</v>
      </c>
      <c r="D94" s="98"/>
      <c r="E94" s="98"/>
      <c r="F94" s="98"/>
      <c r="G94" s="99"/>
    </row>
    <row r="95" spans="1:7" ht="15.75">
      <c r="A95" s="76"/>
      <c r="B95" s="74"/>
      <c r="C95" s="75"/>
      <c r="D95" s="96"/>
      <c r="E95" s="96"/>
      <c r="F95" s="96"/>
      <c r="G95" s="97"/>
    </row>
    <row r="96" spans="1:7" ht="31.5">
      <c r="A96" s="511" t="s">
        <v>226</v>
      </c>
      <c r="B96" s="74" t="s">
        <v>227</v>
      </c>
      <c r="C96" s="75" t="s">
        <v>396</v>
      </c>
      <c r="D96" s="96"/>
      <c r="E96" s="96"/>
      <c r="F96" s="96"/>
      <c r="G96" s="97"/>
    </row>
    <row r="97" spans="1:7" ht="15.75">
      <c r="A97" s="511"/>
      <c r="B97" s="74" t="s">
        <v>251</v>
      </c>
      <c r="C97" s="75"/>
      <c r="D97" s="96"/>
      <c r="E97" s="96"/>
      <c r="F97" s="96"/>
      <c r="G97" s="97"/>
    </row>
    <row r="98" spans="1:7" ht="15.75">
      <c r="A98" s="511"/>
      <c r="B98" s="74" t="s">
        <v>228</v>
      </c>
      <c r="C98" s="75" t="s">
        <v>396</v>
      </c>
      <c r="D98" s="96"/>
      <c r="E98" s="96"/>
      <c r="F98" s="96"/>
      <c r="G98" s="97"/>
    </row>
    <row r="99" spans="1:7" ht="15.75">
      <c r="A99" s="511"/>
      <c r="B99" s="74" t="s">
        <v>173</v>
      </c>
      <c r="C99" s="75"/>
      <c r="D99" s="96"/>
      <c r="E99" s="96"/>
      <c r="F99" s="96"/>
      <c r="G99" s="97"/>
    </row>
    <row r="100" spans="1:7" ht="31.5">
      <c r="A100" s="511"/>
      <c r="B100" s="74" t="s">
        <v>229</v>
      </c>
      <c r="C100" s="75" t="s">
        <v>396</v>
      </c>
      <c r="D100" s="96"/>
      <c r="E100" s="96"/>
      <c r="F100" s="96"/>
      <c r="G100" s="97"/>
    </row>
    <row r="101" spans="1:7" ht="32.25" thickBot="1">
      <c r="A101" s="512"/>
      <c r="B101" s="74" t="s">
        <v>230</v>
      </c>
      <c r="C101" s="78" t="s">
        <v>396</v>
      </c>
      <c r="D101" s="100"/>
      <c r="E101" s="100"/>
      <c r="F101" s="100"/>
      <c r="G101" s="101"/>
    </row>
    <row r="102" spans="1:7" ht="13.5" thickTop="1">
      <c r="A102" s="42"/>
      <c r="B102" s="79"/>
      <c r="C102" s="80"/>
      <c r="D102" s="42"/>
      <c r="E102" s="42"/>
      <c r="F102" s="42"/>
      <c r="G102" s="42"/>
    </row>
    <row r="103" spans="1:7" ht="31.5">
      <c r="A103" s="42"/>
      <c r="B103" s="81" t="s">
        <v>246</v>
      </c>
      <c r="C103" s="80"/>
      <c r="D103" s="42"/>
      <c r="E103" s="42"/>
      <c r="F103" s="42"/>
      <c r="G103" s="42"/>
    </row>
    <row r="104" spans="1:7" ht="15.75">
      <c r="A104" s="42"/>
      <c r="B104" s="82" t="s">
        <v>247</v>
      </c>
      <c r="C104" s="83"/>
      <c r="D104" s="42"/>
      <c r="E104" s="42"/>
      <c r="F104" s="42"/>
      <c r="G104" s="42"/>
    </row>
    <row r="105" spans="1:7" ht="15.75">
      <c r="A105" s="42"/>
      <c r="B105" s="84" t="s">
        <v>182</v>
      </c>
      <c r="C105" s="80"/>
      <c r="D105" s="42"/>
      <c r="E105" s="42"/>
      <c r="F105" s="42"/>
      <c r="G105" s="42"/>
    </row>
  </sheetData>
  <sheetProtection password="E16C" sheet="1" objects="1" scenarios="1"/>
  <customSheetViews>
    <customSheetView guid="{77D4B8AA-2D12-454E-8920-2F102814BFC0}" scale="75" showPageBreaks="1" fitToPage="1" printArea="1" view="pageBreakPreview" showRuler="0" topLeftCell="A64">
      <selection activeCell="C72" sqref="C72"/>
      <rowBreaks count="1" manualBreakCount="1">
        <brk id="67" max="16383" man="1"/>
      </rowBreaks>
      <pageMargins left="0.62" right="0.61" top="0.72" bottom="0.6" header="0.5" footer="0.5"/>
      <pageSetup paperSize="9" scale="65" fitToHeight="0" orientation="portrait" r:id="rId1"/>
      <headerFooter alignWithMargins="0"/>
    </customSheetView>
    <customSheetView guid="{0F955BED-3AA5-4ED9-8747-25E63CDA70F7}" scale="98" showPageBreaks="1" fitToPage="1" view="pageBreakPreview" showRuler="0">
      <pane xSplit="3" ySplit="4" topLeftCell="D5" activePane="bottomRight" state="frozen"/>
      <selection pane="bottomRight" activeCell="A4" sqref="A4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2"/>
      <headerFooter alignWithMargins="0"/>
    </customSheetView>
    <customSheetView guid="{F999748C-9832-11D8-83FB-00E04C392051}" scale="98" showPageBreaks="1" fitToPage="1" view="pageBreakPreview" showRuler="0">
      <pane xSplit="3" ySplit="4" topLeftCell="D5" activePane="bottomRight" state="frozen"/>
      <selection pane="bottomRight" activeCell="A4" sqref="A4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3"/>
      <headerFooter alignWithMargins="0"/>
    </customSheetView>
    <customSheetView guid="{1CCF9464-AEC0-4C0F-98A5-E7B17D04C7EE}" scale="75" showPageBreaks="1" fitToPage="1" view="pageBreakPreview" showRuler="0">
      <pane xSplit="3" ySplit="4" topLeftCell="D73" activePane="bottomRight" state="frozen"/>
      <selection pane="bottomRight" activeCell="B8" sqref="B8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4"/>
      <headerFooter alignWithMargins="0"/>
    </customSheetView>
    <customSheetView guid="{4D3410BB-2371-487E-AAF7-AC8AFE6E56CA}" scale="75" showPageBreaks="1" fitToPage="1" view="pageBreakPreview" showRuler="0">
      <pane xSplit="3" ySplit="4" topLeftCell="D73" activePane="bottomRight" state="frozen"/>
      <selection pane="bottomRight" activeCell="B8" sqref="B8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5"/>
      <headerFooter alignWithMargins="0"/>
    </customSheetView>
  </customSheetViews>
  <mergeCells count="25">
    <mergeCell ref="A96:A101"/>
    <mergeCell ref="A9:A11"/>
    <mergeCell ref="A70:A77"/>
    <mergeCell ref="A79:A83"/>
    <mergeCell ref="A85:A90"/>
    <mergeCell ref="A92:A94"/>
    <mergeCell ref="B68:E68"/>
    <mergeCell ref="B58:B59"/>
    <mergeCell ref="B46:B47"/>
    <mergeCell ref="B48:B49"/>
    <mergeCell ref="B60:B61"/>
    <mergeCell ref="B50:B51"/>
    <mergeCell ref="B52:B53"/>
    <mergeCell ref="B54:B55"/>
    <mergeCell ref="A5:A7"/>
    <mergeCell ref="A18:A25"/>
    <mergeCell ref="A27:A33"/>
    <mergeCell ref="A35:A66"/>
    <mergeCell ref="B56:B57"/>
    <mergeCell ref="B38:B39"/>
    <mergeCell ref="B40:B41"/>
    <mergeCell ref="B42:B43"/>
    <mergeCell ref="B44:B45"/>
    <mergeCell ref="B35:B36"/>
    <mergeCell ref="B62:B63"/>
  </mergeCells>
  <phoneticPr fontId="0" type="noConversion"/>
  <pageMargins left="0.62" right="0.75" top="0.72" bottom="0.6" header="0.5" footer="0.5"/>
  <pageSetup paperSize="9" scale="61" fitToHeight="2" orientation="portrait" r:id="rId6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B1:L86"/>
  <sheetViews>
    <sheetView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 activeCell="C40" sqref="C40"/>
    </sheetView>
  </sheetViews>
  <sheetFormatPr defaultRowHeight="12.75"/>
  <cols>
    <col min="1" max="1" width="4.7109375" customWidth="1"/>
    <col min="2" max="2" width="15.85546875" customWidth="1"/>
    <col min="3" max="3" width="39" customWidth="1"/>
    <col min="4" max="4" width="19.7109375" customWidth="1"/>
    <col min="5" max="5" width="15.5703125" customWidth="1"/>
    <col min="6" max="6" width="9.5703125" customWidth="1"/>
    <col min="7" max="7" width="14.85546875" customWidth="1"/>
    <col min="9" max="9" width="14.140625" customWidth="1"/>
    <col min="10" max="10" width="9.42578125" customWidth="1"/>
    <col min="11" max="11" width="14.7109375" customWidth="1"/>
    <col min="12" max="12" width="10.140625" customWidth="1"/>
  </cols>
  <sheetData>
    <row r="1" spans="2:12" ht="15.75">
      <c r="B1" s="9" t="s">
        <v>530</v>
      </c>
      <c r="C1" s="9"/>
      <c r="D1" s="10" t="s">
        <v>202</v>
      </c>
      <c r="E1" s="35"/>
      <c r="G1" s="11"/>
      <c r="H1" s="11"/>
    </row>
    <row r="2" spans="2:12">
      <c r="B2" s="11" t="s">
        <v>533</v>
      </c>
      <c r="C2" s="11"/>
      <c r="D2" s="11"/>
      <c r="E2" s="11"/>
      <c r="F2" s="11"/>
      <c r="G2" s="11"/>
      <c r="H2" s="11"/>
    </row>
    <row r="3" spans="2:12" ht="13.5" thickBot="1">
      <c r="B3" s="11" t="s">
        <v>317</v>
      </c>
      <c r="C3" s="11"/>
      <c r="D3" s="12" t="s">
        <v>534</v>
      </c>
      <c r="F3" s="11"/>
      <c r="G3" s="11"/>
      <c r="H3" s="11"/>
    </row>
    <row r="4" spans="2:12" ht="13.5" thickBot="1">
      <c r="B4" s="13" t="s">
        <v>198</v>
      </c>
      <c r="C4" s="14" t="s">
        <v>535</v>
      </c>
      <c r="D4" s="14" t="s">
        <v>536</v>
      </c>
      <c r="E4" s="15">
        <v>2003</v>
      </c>
      <c r="F4" s="16" t="s">
        <v>269</v>
      </c>
      <c r="G4" s="15">
        <v>2004</v>
      </c>
      <c r="H4" s="16" t="s">
        <v>269</v>
      </c>
      <c r="I4" s="17">
        <v>2005</v>
      </c>
      <c r="J4" s="18" t="s">
        <v>270</v>
      </c>
      <c r="K4" s="17">
        <v>2006</v>
      </c>
      <c r="L4" s="18" t="s">
        <v>271</v>
      </c>
    </row>
    <row r="5" spans="2:12" ht="39" thickBot="1">
      <c r="B5" s="19"/>
      <c r="C5" s="20"/>
      <c r="D5" s="36" t="s">
        <v>537</v>
      </c>
      <c r="E5" s="30" t="s">
        <v>537</v>
      </c>
      <c r="F5" s="30" t="s">
        <v>538</v>
      </c>
      <c r="G5" s="30" t="s">
        <v>537</v>
      </c>
      <c r="H5" s="30" t="s">
        <v>538</v>
      </c>
      <c r="I5" s="30" t="s">
        <v>537</v>
      </c>
      <c r="J5" s="30" t="s">
        <v>538</v>
      </c>
      <c r="K5" s="30" t="s">
        <v>537</v>
      </c>
      <c r="L5" s="37" t="s">
        <v>538</v>
      </c>
    </row>
    <row r="6" spans="2:12">
      <c r="C6" s="21" t="s">
        <v>539</v>
      </c>
      <c r="D6" s="25"/>
      <c r="E6" s="25"/>
      <c r="F6" s="46"/>
      <c r="G6" s="25"/>
      <c r="H6" s="25"/>
      <c r="I6" s="25"/>
      <c r="J6" s="25"/>
    </row>
    <row r="7" spans="2:12">
      <c r="B7" s="28">
        <v>2701</v>
      </c>
      <c r="C7" s="22" t="s">
        <v>540</v>
      </c>
      <c r="D7" s="25"/>
      <c r="E7" s="102"/>
      <c r="F7" s="103"/>
      <c r="G7" s="104"/>
      <c r="H7" s="103"/>
      <c r="I7" s="103"/>
      <c r="J7" s="103"/>
      <c r="K7" s="105"/>
      <c r="L7" s="105"/>
    </row>
    <row r="8" spans="2:12">
      <c r="B8" s="22">
        <v>2709</v>
      </c>
      <c r="C8" t="s">
        <v>541</v>
      </c>
      <c r="D8" s="23" t="s">
        <v>303</v>
      </c>
      <c r="E8" s="102"/>
      <c r="F8" s="106"/>
      <c r="G8" s="102"/>
      <c r="H8" s="106"/>
      <c r="I8" s="106"/>
      <c r="J8" s="106"/>
      <c r="K8" s="107"/>
      <c r="L8" s="107"/>
    </row>
    <row r="9" spans="2:12">
      <c r="B9" s="22">
        <v>2710</v>
      </c>
      <c r="C9" t="s">
        <v>542</v>
      </c>
      <c r="D9" s="23" t="s">
        <v>303</v>
      </c>
      <c r="E9" s="102"/>
      <c r="F9" s="106"/>
      <c r="G9" s="102"/>
      <c r="H9" s="106"/>
      <c r="I9" s="106"/>
      <c r="J9" s="106"/>
      <c r="K9" s="107"/>
      <c r="L9" s="107"/>
    </row>
    <row r="10" spans="2:12">
      <c r="B10" s="22">
        <v>271121000</v>
      </c>
      <c r="C10" t="s">
        <v>543</v>
      </c>
      <c r="D10" s="23" t="s">
        <v>544</v>
      </c>
      <c r="E10" s="102"/>
      <c r="F10" s="106"/>
      <c r="G10" s="102"/>
      <c r="H10" s="106"/>
      <c r="I10" s="106"/>
      <c r="J10" s="106"/>
      <c r="K10" s="107"/>
      <c r="L10" s="107"/>
    </row>
    <row r="11" spans="2:12">
      <c r="B11" s="22">
        <v>2716</v>
      </c>
      <c r="C11" t="s">
        <v>433</v>
      </c>
      <c r="D11" s="23" t="s">
        <v>545</v>
      </c>
      <c r="E11" s="102"/>
      <c r="F11" s="106"/>
      <c r="G11" s="102"/>
      <c r="H11" s="106"/>
      <c r="I11" s="106"/>
      <c r="J11" s="106"/>
      <c r="K11" s="107"/>
      <c r="L11" s="107"/>
    </row>
    <row r="12" spans="2:12">
      <c r="B12" s="22">
        <v>3102</v>
      </c>
      <c r="C12" t="s">
        <v>546</v>
      </c>
      <c r="D12" s="23" t="s">
        <v>303</v>
      </c>
      <c r="E12" s="108"/>
      <c r="F12" s="107"/>
      <c r="G12" s="108"/>
      <c r="H12" s="107"/>
      <c r="I12" s="107"/>
      <c r="J12" s="107"/>
      <c r="K12" s="107"/>
      <c r="L12" s="107"/>
    </row>
    <row r="13" spans="2:12">
      <c r="B13" s="22">
        <v>3104</v>
      </c>
      <c r="C13" t="s">
        <v>547</v>
      </c>
      <c r="D13" s="23" t="s">
        <v>303</v>
      </c>
      <c r="E13" s="108"/>
      <c r="F13" s="107"/>
      <c r="G13" s="108"/>
      <c r="H13" s="107"/>
      <c r="I13" s="107"/>
      <c r="J13" s="107"/>
      <c r="K13" s="107"/>
      <c r="L13" s="107"/>
    </row>
    <row r="14" spans="2:12">
      <c r="B14" s="22">
        <v>3105</v>
      </c>
      <c r="C14" t="s">
        <v>548</v>
      </c>
      <c r="D14" s="23" t="s">
        <v>303</v>
      </c>
      <c r="E14" s="108"/>
      <c r="F14" s="107"/>
      <c r="G14" s="108"/>
      <c r="H14" s="107"/>
      <c r="I14" s="107"/>
      <c r="J14" s="107"/>
      <c r="K14" s="107"/>
      <c r="L14" s="107"/>
    </row>
    <row r="15" spans="2:12">
      <c r="B15" s="22">
        <v>4403</v>
      </c>
      <c r="C15" t="s">
        <v>549</v>
      </c>
      <c r="D15" s="23" t="s">
        <v>550</v>
      </c>
      <c r="E15" s="108"/>
      <c r="F15" s="107"/>
      <c r="G15" s="108"/>
      <c r="H15" s="107"/>
      <c r="I15" s="107"/>
      <c r="J15" s="107"/>
      <c r="K15" s="107"/>
      <c r="L15" s="107"/>
    </row>
    <row r="16" spans="2:12">
      <c r="B16" s="22">
        <v>4407</v>
      </c>
      <c r="C16" t="s">
        <v>551</v>
      </c>
      <c r="D16" s="23" t="s">
        <v>303</v>
      </c>
      <c r="E16" s="108"/>
      <c r="F16" s="107"/>
      <c r="G16" s="108"/>
      <c r="H16" s="107"/>
      <c r="I16" s="107"/>
      <c r="J16" s="107"/>
      <c r="K16" s="107"/>
      <c r="L16" s="107"/>
    </row>
    <row r="17" spans="2:12">
      <c r="B17" s="22" t="s">
        <v>552</v>
      </c>
      <c r="C17" t="s">
        <v>553</v>
      </c>
      <c r="D17" s="23" t="s">
        <v>303</v>
      </c>
      <c r="E17" s="108"/>
      <c r="F17" s="107"/>
      <c r="G17" s="108"/>
      <c r="H17" s="107"/>
      <c r="I17" s="107"/>
      <c r="J17" s="107"/>
      <c r="K17" s="107"/>
      <c r="L17" s="107"/>
    </row>
    <row r="18" spans="2:12">
      <c r="B18" s="22">
        <v>72</v>
      </c>
      <c r="C18" t="s">
        <v>554</v>
      </c>
      <c r="D18" s="23" t="s">
        <v>303</v>
      </c>
      <c r="E18" s="108"/>
      <c r="F18" s="107"/>
      <c r="G18" s="108"/>
      <c r="H18" s="107"/>
      <c r="I18" s="107"/>
      <c r="J18" s="107"/>
      <c r="K18" s="107"/>
      <c r="L18" s="107"/>
    </row>
    <row r="19" spans="2:12">
      <c r="B19" s="22">
        <v>7403</v>
      </c>
      <c r="C19" t="s">
        <v>555</v>
      </c>
      <c r="D19" s="23" t="s">
        <v>303</v>
      </c>
      <c r="E19" s="108"/>
      <c r="F19" s="107"/>
      <c r="G19" s="108"/>
      <c r="H19" s="107"/>
      <c r="I19" s="107"/>
      <c r="J19" s="107"/>
      <c r="K19" s="107"/>
      <c r="L19" s="107"/>
    </row>
    <row r="20" spans="2:12">
      <c r="B20" s="22">
        <v>7502</v>
      </c>
      <c r="C20" t="s">
        <v>559</v>
      </c>
      <c r="D20" s="23" t="s">
        <v>303</v>
      </c>
      <c r="E20" s="108"/>
      <c r="F20" s="107"/>
      <c r="G20" s="108"/>
      <c r="H20" s="107"/>
      <c r="I20" s="107"/>
      <c r="J20" s="107"/>
      <c r="K20" s="107"/>
      <c r="L20" s="107"/>
    </row>
    <row r="21" spans="2:12">
      <c r="B21" s="22">
        <v>7601</v>
      </c>
      <c r="C21" t="s">
        <v>560</v>
      </c>
      <c r="D21" s="23" t="s">
        <v>303</v>
      </c>
      <c r="E21" s="108"/>
      <c r="F21" s="107"/>
      <c r="G21" s="108"/>
      <c r="H21" s="107"/>
      <c r="I21" s="107"/>
      <c r="J21" s="107"/>
      <c r="K21" s="107"/>
      <c r="L21" s="107"/>
    </row>
    <row r="22" spans="2:12">
      <c r="B22" s="22" t="s">
        <v>561</v>
      </c>
      <c r="C22" t="s">
        <v>562</v>
      </c>
      <c r="D22" s="23" t="s">
        <v>563</v>
      </c>
      <c r="E22" s="108"/>
      <c r="F22" s="107"/>
      <c r="G22" s="108"/>
      <c r="H22" s="107"/>
      <c r="I22" s="107"/>
      <c r="J22" s="107"/>
      <c r="K22" s="109"/>
      <c r="L22" s="107"/>
    </row>
    <row r="23" spans="2:12">
      <c r="B23" s="22">
        <v>8703</v>
      </c>
      <c r="C23" t="s">
        <v>564</v>
      </c>
      <c r="D23" s="23" t="s">
        <v>565</v>
      </c>
      <c r="E23" s="108"/>
      <c r="F23" s="107"/>
      <c r="G23" s="108"/>
      <c r="H23" s="107"/>
      <c r="I23" s="107"/>
      <c r="J23" s="107"/>
      <c r="K23" s="107"/>
      <c r="L23" s="107"/>
    </row>
    <row r="24" spans="2:12">
      <c r="B24" s="22">
        <v>8704</v>
      </c>
      <c r="C24" t="s">
        <v>284</v>
      </c>
      <c r="D24" s="23" t="s">
        <v>565</v>
      </c>
      <c r="E24" s="108"/>
      <c r="F24" s="107"/>
      <c r="G24" s="108"/>
      <c r="H24" s="107"/>
      <c r="I24" s="107"/>
      <c r="J24" s="107"/>
      <c r="K24" s="107"/>
      <c r="L24" s="107"/>
    </row>
    <row r="25" spans="2:12">
      <c r="B25" s="22"/>
      <c r="C25" s="21" t="s">
        <v>566</v>
      </c>
      <c r="D25" s="23"/>
      <c r="E25" s="108"/>
      <c r="F25" s="107"/>
      <c r="G25" s="108"/>
      <c r="H25" s="107"/>
      <c r="I25" s="107"/>
      <c r="J25" s="107"/>
      <c r="K25" s="107"/>
      <c r="L25" s="107"/>
    </row>
    <row r="26" spans="2:12">
      <c r="B26" s="22"/>
      <c r="C26" s="21" t="s">
        <v>231</v>
      </c>
      <c r="D26" s="23"/>
      <c r="E26" s="108"/>
      <c r="F26" s="105"/>
      <c r="G26" s="110"/>
      <c r="H26" s="105"/>
      <c r="I26" s="105"/>
      <c r="J26" s="105"/>
      <c r="K26" s="105"/>
      <c r="L26" s="105"/>
    </row>
    <row r="27" spans="2:12">
      <c r="B27" s="22" t="s">
        <v>567</v>
      </c>
      <c r="C27" t="s">
        <v>569</v>
      </c>
      <c r="D27" s="23" t="s">
        <v>303</v>
      </c>
      <c r="E27" s="108"/>
      <c r="F27" s="107"/>
      <c r="G27" s="108"/>
      <c r="H27" s="107"/>
      <c r="I27" s="107"/>
      <c r="J27" s="107"/>
      <c r="K27" s="107"/>
      <c r="L27" s="107"/>
    </row>
    <row r="28" spans="2:12">
      <c r="B28" s="24" t="s">
        <v>570</v>
      </c>
      <c r="C28" t="s">
        <v>571</v>
      </c>
      <c r="D28" s="23" t="s">
        <v>303</v>
      </c>
      <c r="E28" s="108"/>
      <c r="F28" s="107"/>
      <c r="G28" s="108"/>
      <c r="H28" s="107"/>
      <c r="I28" s="107"/>
      <c r="J28" s="107"/>
      <c r="K28" s="107"/>
      <c r="L28" s="107"/>
    </row>
    <row r="29" spans="2:12">
      <c r="B29" s="24" t="s">
        <v>572</v>
      </c>
      <c r="C29" t="s">
        <v>573</v>
      </c>
      <c r="D29" s="23" t="s">
        <v>303</v>
      </c>
      <c r="E29" s="108"/>
      <c r="F29" s="107"/>
      <c r="G29" s="108"/>
      <c r="H29" s="107"/>
      <c r="I29" s="107"/>
      <c r="J29" s="107"/>
      <c r="K29" s="107"/>
      <c r="L29" s="107"/>
    </row>
    <row r="30" spans="2:12">
      <c r="B30" s="22">
        <v>10</v>
      </c>
      <c r="C30" t="s">
        <v>574</v>
      </c>
      <c r="D30" s="23" t="s">
        <v>563</v>
      </c>
      <c r="E30" s="108"/>
      <c r="F30" s="107"/>
      <c r="G30" s="108"/>
      <c r="H30" s="107"/>
      <c r="I30" s="107"/>
      <c r="J30" s="107"/>
      <c r="K30" s="109"/>
      <c r="L30" s="107"/>
    </row>
    <row r="31" spans="2:12">
      <c r="B31" s="22">
        <v>1512</v>
      </c>
      <c r="C31" t="s">
        <v>575</v>
      </c>
      <c r="D31" s="23" t="s">
        <v>303</v>
      </c>
      <c r="E31" s="108"/>
      <c r="F31" s="107"/>
      <c r="G31" s="108"/>
      <c r="H31" s="107"/>
      <c r="I31" s="107"/>
      <c r="J31" s="107"/>
      <c r="K31" s="107"/>
      <c r="L31" s="107"/>
    </row>
    <row r="32" spans="2:12">
      <c r="B32" s="22" t="s">
        <v>576</v>
      </c>
      <c r="C32" t="s">
        <v>577</v>
      </c>
      <c r="D32" s="23" t="s">
        <v>303</v>
      </c>
      <c r="E32" s="108"/>
      <c r="F32" s="107"/>
      <c r="G32" s="108"/>
      <c r="H32" s="107"/>
      <c r="I32" s="107"/>
      <c r="J32" s="107"/>
      <c r="K32" s="107"/>
      <c r="L32" s="107"/>
    </row>
    <row r="33" spans="2:12">
      <c r="B33" s="22">
        <v>22</v>
      </c>
      <c r="C33" t="s">
        <v>579</v>
      </c>
      <c r="D33" s="23" t="s">
        <v>563</v>
      </c>
      <c r="E33" s="108"/>
      <c r="F33" s="107"/>
      <c r="G33" s="108"/>
      <c r="H33" s="107"/>
      <c r="I33" s="107"/>
      <c r="J33" s="107"/>
      <c r="K33" s="109"/>
      <c r="L33" s="107"/>
    </row>
    <row r="34" spans="2:12">
      <c r="B34" s="22">
        <v>2701</v>
      </c>
      <c r="C34" t="s">
        <v>540</v>
      </c>
      <c r="D34" s="23" t="s">
        <v>303</v>
      </c>
      <c r="E34" s="108"/>
      <c r="F34" s="107"/>
      <c r="G34" s="108"/>
      <c r="H34" s="107"/>
      <c r="I34" s="107"/>
      <c r="J34" s="107"/>
      <c r="K34" s="109"/>
      <c r="L34" s="107"/>
    </row>
    <row r="35" spans="2:12">
      <c r="B35" s="22" t="s">
        <v>580</v>
      </c>
      <c r="C35" t="s">
        <v>581</v>
      </c>
      <c r="D35" s="23" t="s">
        <v>303</v>
      </c>
      <c r="E35" s="108"/>
      <c r="F35" s="107"/>
      <c r="G35" s="108"/>
      <c r="H35" s="107"/>
      <c r="I35" s="107"/>
      <c r="J35" s="107"/>
      <c r="K35" s="107"/>
      <c r="L35" s="107"/>
    </row>
    <row r="36" spans="2:12">
      <c r="B36" s="22">
        <v>5101</v>
      </c>
      <c r="C36" t="s">
        <v>582</v>
      </c>
      <c r="D36" s="23" t="s">
        <v>303</v>
      </c>
      <c r="E36" s="108"/>
      <c r="F36" s="107"/>
      <c r="G36" s="108"/>
      <c r="H36" s="107"/>
      <c r="I36" s="107"/>
      <c r="J36" s="107"/>
      <c r="K36" s="107"/>
      <c r="L36" s="107"/>
    </row>
    <row r="37" spans="2:12">
      <c r="B37" s="22">
        <v>5201</v>
      </c>
      <c r="C37" t="s">
        <v>583</v>
      </c>
      <c r="D37" s="23" t="s">
        <v>303</v>
      </c>
      <c r="E37" s="108"/>
      <c r="F37" s="107"/>
      <c r="G37" s="108"/>
      <c r="H37" s="107"/>
      <c r="I37" s="107"/>
      <c r="J37" s="107"/>
      <c r="K37" s="107"/>
      <c r="L37" s="107"/>
    </row>
    <row r="38" spans="2:12">
      <c r="B38" s="22">
        <v>5301</v>
      </c>
      <c r="C38" t="s">
        <v>584</v>
      </c>
      <c r="D38" s="23" t="s">
        <v>303</v>
      </c>
      <c r="E38" s="108"/>
      <c r="F38" s="107"/>
      <c r="G38" s="108"/>
      <c r="H38" s="107"/>
      <c r="I38" s="107"/>
      <c r="J38" s="107"/>
      <c r="K38" s="107"/>
      <c r="L38" s="107"/>
    </row>
    <row r="39" spans="2:12">
      <c r="B39" s="22">
        <v>72</v>
      </c>
      <c r="C39" t="s">
        <v>554</v>
      </c>
      <c r="D39" s="23" t="s">
        <v>303</v>
      </c>
      <c r="E39" s="108"/>
      <c r="F39" s="107"/>
      <c r="G39" s="108"/>
      <c r="H39" s="107"/>
      <c r="I39" s="107"/>
      <c r="J39" s="107"/>
      <c r="K39" s="107"/>
      <c r="L39" s="107"/>
    </row>
    <row r="40" spans="2:12">
      <c r="B40" s="22">
        <v>7202</v>
      </c>
      <c r="C40" t="s">
        <v>585</v>
      </c>
      <c r="D40" s="23" t="s">
        <v>303</v>
      </c>
      <c r="E40" s="108"/>
      <c r="F40" s="107"/>
      <c r="G40" s="108"/>
      <c r="H40" s="107"/>
      <c r="I40" s="107"/>
      <c r="J40" s="107"/>
      <c r="K40" s="107"/>
      <c r="L40" s="107"/>
    </row>
    <row r="41" spans="2:12">
      <c r="B41" s="22" t="s">
        <v>586</v>
      </c>
      <c r="C41" t="s">
        <v>294</v>
      </c>
      <c r="D41" s="23" t="s">
        <v>303</v>
      </c>
      <c r="E41" s="108"/>
      <c r="F41" s="107"/>
      <c r="G41" s="108"/>
      <c r="H41" s="107"/>
      <c r="I41" s="107"/>
      <c r="J41" s="107"/>
      <c r="K41" s="107"/>
      <c r="L41" s="107"/>
    </row>
    <row r="42" spans="2:12">
      <c r="B42" s="22">
        <v>7403</v>
      </c>
      <c r="C42" t="s">
        <v>555</v>
      </c>
      <c r="D42" s="38" t="s">
        <v>303</v>
      </c>
      <c r="E42" s="108"/>
      <c r="F42" s="107"/>
      <c r="G42" s="108"/>
      <c r="H42" s="107"/>
      <c r="I42" s="107"/>
      <c r="J42" s="107"/>
      <c r="K42" s="107"/>
      <c r="L42" s="107"/>
    </row>
    <row r="43" spans="2:12">
      <c r="B43" s="22">
        <v>7801</v>
      </c>
      <c r="C43" t="s">
        <v>587</v>
      </c>
      <c r="D43" s="23" t="s">
        <v>303</v>
      </c>
      <c r="E43" s="108"/>
      <c r="F43" s="107"/>
      <c r="G43" s="108"/>
      <c r="H43" s="107"/>
      <c r="I43" s="107"/>
      <c r="J43" s="107"/>
      <c r="K43" s="107"/>
      <c r="L43" s="107"/>
    </row>
    <row r="44" spans="2:12">
      <c r="B44" s="22" t="s">
        <v>561</v>
      </c>
      <c r="C44" t="s">
        <v>562</v>
      </c>
      <c r="D44" s="23" t="s">
        <v>563</v>
      </c>
      <c r="E44" s="108"/>
      <c r="F44" s="107"/>
      <c r="G44" s="108"/>
      <c r="H44" s="107"/>
      <c r="I44" s="107"/>
      <c r="J44" s="107"/>
      <c r="K44" s="109"/>
      <c r="L44" s="107"/>
    </row>
    <row r="45" spans="2:12">
      <c r="B45" s="22">
        <v>8703</v>
      </c>
      <c r="C45" t="s">
        <v>564</v>
      </c>
      <c r="D45" s="23" t="s">
        <v>565</v>
      </c>
      <c r="E45" s="108"/>
      <c r="F45" s="107"/>
      <c r="G45" s="108"/>
      <c r="H45" s="107"/>
      <c r="I45" s="107"/>
      <c r="J45" s="107"/>
      <c r="K45" s="107"/>
      <c r="L45" s="107"/>
    </row>
    <row r="46" spans="2:12">
      <c r="B46" s="22">
        <v>8704</v>
      </c>
      <c r="C46" t="s">
        <v>284</v>
      </c>
      <c r="D46" s="23" t="s">
        <v>565</v>
      </c>
      <c r="E46" s="108"/>
      <c r="F46" s="107"/>
      <c r="G46" s="108"/>
      <c r="H46" s="107"/>
      <c r="I46" s="107"/>
      <c r="J46" s="107"/>
      <c r="K46" s="107"/>
      <c r="L46" s="107"/>
    </row>
    <row r="47" spans="2:12">
      <c r="D47" s="23"/>
      <c r="E47" s="111"/>
      <c r="F47" s="112"/>
      <c r="G47" s="111"/>
      <c r="H47" s="112"/>
      <c r="I47" s="112"/>
      <c r="J47" s="112"/>
      <c r="K47" s="112"/>
      <c r="L47" s="112"/>
    </row>
    <row r="48" spans="2:12">
      <c r="B48" t="s">
        <v>199</v>
      </c>
      <c r="D48" s="23"/>
      <c r="H48" s="31"/>
      <c r="I48" s="31"/>
      <c r="J48" s="31"/>
      <c r="K48" s="31"/>
      <c r="L48" s="31"/>
    </row>
    <row r="49" spans="4:10">
      <c r="D49" s="23"/>
    </row>
    <row r="50" spans="4:10">
      <c r="D50" s="23"/>
    </row>
    <row r="51" spans="4:10">
      <c r="D51" s="23"/>
    </row>
    <row r="52" spans="4:10">
      <c r="D52" s="23"/>
    </row>
    <row r="53" spans="4:10">
      <c r="D53" s="23"/>
    </row>
    <row r="54" spans="4:10">
      <c r="D54" s="21"/>
      <c r="F54" s="21"/>
      <c r="H54" s="21"/>
      <c r="J54" s="21"/>
    </row>
    <row r="55" spans="4:10">
      <c r="D55" s="23"/>
    </row>
    <row r="56" spans="4:10">
      <c r="D56" s="23"/>
    </row>
    <row r="57" spans="4:10">
      <c r="D57" s="23"/>
    </row>
    <row r="58" spans="4:10">
      <c r="D58" s="23"/>
    </row>
    <row r="59" spans="4:10">
      <c r="D59" s="23"/>
    </row>
    <row r="60" spans="4:10">
      <c r="D60" s="23"/>
    </row>
    <row r="61" spans="4:10">
      <c r="D61" s="23"/>
    </row>
    <row r="62" spans="4:10">
      <c r="D62" s="23"/>
    </row>
    <row r="63" spans="4:10">
      <c r="D63" s="21"/>
      <c r="F63" s="21"/>
      <c r="H63" s="21"/>
      <c r="J63" s="21"/>
    </row>
    <row r="64" spans="4:10">
      <c r="D64" s="21"/>
      <c r="F64" s="21"/>
      <c r="H64" s="21"/>
      <c r="J64" s="21"/>
    </row>
    <row r="65" spans="4:10">
      <c r="D65" s="21"/>
      <c r="F65" s="21"/>
      <c r="H65" s="21"/>
      <c r="J65" s="21"/>
    </row>
    <row r="66" spans="4:10">
      <c r="D66" s="23"/>
    </row>
    <row r="67" spans="4:10">
      <c r="D67" s="23"/>
    </row>
    <row r="68" spans="4:10">
      <c r="D68" s="23"/>
    </row>
    <row r="69" spans="4:10">
      <c r="D69" s="23"/>
    </row>
    <row r="70" spans="4:10">
      <c r="D70" s="21"/>
      <c r="F70" s="21"/>
      <c r="H70" s="21"/>
      <c r="J70" s="21"/>
    </row>
    <row r="71" spans="4:10">
      <c r="D71" s="21"/>
      <c r="F71" s="21"/>
      <c r="H71" s="21"/>
      <c r="J71" s="21"/>
    </row>
    <row r="72" spans="4:10">
      <c r="D72" s="23"/>
    </row>
    <row r="73" spans="4:10">
      <c r="D73" s="23"/>
    </row>
    <row r="74" spans="4:10">
      <c r="D74" s="23"/>
    </row>
    <row r="75" spans="4:10">
      <c r="D75" s="23"/>
    </row>
    <row r="76" spans="4:10">
      <c r="D76" s="21"/>
      <c r="F76" s="21"/>
      <c r="H76" s="21"/>
      <c r="J76" s="21"/>
    </row>
    <row r="77" spans="4:10">
      <c r="D77" s="23"/>
    </row>
    <row r="78" spans="4:10">
      <c r="D78" s="23"/>
    </row>
    <row r="79" spans="4:10">
      <c r="D79" s="23"/>
    </row>
    <row r="80" spans="4:10">
      <c r="D80" s="23"/>
    </row>
    <row r="81" spans="4:10">
      <c r="D81" s="21"/>
      <c r="F81" s="21"/>
      <c r="H81" s="21"/>
      <c r="J81" s="21"/>
    </row>
    <row r="82" spans="4:10">
      <c r="D82" s="23"/>
    </row>
    <row r="83" spans="4:10">
      <c r="D83" s="23"/>
    </row>
    <row r="84" spans="4:10">
      <c r="D84" s="21"/>
    </row>
    <row r="85" spans="4:10">
      <c r="D85" s="23"/>
    </row>
    <row r="86" spans="4:10">
      <c r="D86" s="23"/>
    </row>
  </sheetData>
  <sheetProtection password="E16C" sheet="1" objects="1" scenarios="1"/>
  <customSheetViews>
    <customSheetView guid="{77D4B8AA-2D12-454E-8920-2F102814BFC0}" scale="75" showRuler="0">
      <pane xSplit="1" ySplit="6" topLeftCell="B31" activePane="bottomRight" state="frozen"/>
      <selection pane="bottomRight" activeCell="E39" sqref="E39"/>
      <pageMargins left="0.39370078740157483" right="0.39370078740157483" top="0.78740157480314965" bottom="0.78740157480314965" header="0.51181102362204722" footer="0.51181102362204722"/>
      <pageSetup paperSize="9" scale="75" orientation="landscape" r:id="rId1"/>
      <headerFooter alignWithMargins="0"/>
    </customSheetView>
    <customSheetView guid="{0F955BED-3AA5-4ED9-8747-25E63CDA70F7}" scale="75" showRuler="0">
      <pane xSplit="1" ySplit="6" topLeftCell="B31" activePane="bottomRight" state="frozen"/>
      <selection pane="bottomRight" activeCell="B3" sqref="B3"/>
      <pageMargins left="0.39370078740157483" right="0.39370078740157483" top="0.78740157480314965" bottom="0.78740157480314965" header="0.51181102362204722" footer="0.51181102362204722"/>
      <pageSetup paperSize="9" scale="75" orientation="landscape" r:id="rId2"/>
      <headerFooter alignWithMargins="0"/>
    </customSheetView>
    <customSheetView guid="{F999748C-9832-11D8-83FB-00E04C392051}" scale="75" showRuler="0">
      <pane xSplit="1" ySplit="6" topLeftCell="B31" activePane="bottomRight" state="frozen"/>
      <selection pane="bottomRight" activeCell="B3" sqref="B3"/>
      <pageMargins left="0.39370078740157483" right="0.39370078740157483" top="0.78740157480314965" bottom="0.78740157480314965" header="0.51181102362204722" footer="0.51181102362204722"/>
      <pageSetup paperSize="9" scale="75" orientation="landscape" r:id="rId3"/>
      <headerFooter alignWithMargins="0"/>
    </customSheetView>
    <customSheetView guid="{1CCF9464-AEC0-4C0F-98A5-E7B17D04C7EE}" scale="75" showRuler="0">
      <pane xSplit="1" ySplit="6" topLeftCell="B31" activePane="bottomRight" state="frozen"/>
      <selection pane="bottomRight" activeCell="D54" sqref="D54"/>
      <pageMargins left="0.39370078740157483" right="0.39370078740157483" top="0.78740157480314965" bottom="0.78740157480314965" header="0.51181102362204722" footer="0.51181102362204722"/>
      <pageSetup paperSize="9" scale="75" orientation="landscape" r:id="rId4"/>
      <headerFooter alignWithMargins="0"/>
    </customSheetView>
    <customSheetView guid="{4D3410BB-2371-487E-AAF7-AC8AFE6E56CA}" scale="75" showRuler="0">
      <pane xSplit="1" ySplit="6" topLeftCell="B7" activePane="bottomRight" state="frozen"/>
      <selection pane="bottomRight" activeCell="B1" sqref="B1"/>
      <pageMargins left="0.39370078740157483" right="0.39370078740157483" top="0.78740157480314965" bottom="0.78740157480314965" header="0.51181102362204722" footer="0.51181102362204722"/>
      <pageSetup paperSize="9" scale="75" orientation="landscape" r:id="rId5"/>
      <headerFooter alignWithMargins="0"/>
    </customSheetView>
  </customSheetViews>
  <phoneticPr fontId="0" type="noConversion"/>
  <pageMargins left="0.39370078740157483" right="0.39370078740157483" top="0.78740157480314965" bottom="0.78740157480314965" header="0.51181102362204722" footer="0.51181102362204722"/>
  <pageSetup paperSize="9" scale="75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5"/>
  <dimension ref="B1:L86"/>
  <sheetViews>
    <sheetView zoomScale="75" workbookViewId="0">
      <selection activeCell="D54" sqref="D54"/>
    </sheetView>
  </sheetViews>
  <sheetFormatPr defaultRowHeight="12.75"/>
  <cols>
    <col min="1" max="1" width="4.7109375" customWidth="1"/>
    <col min="2" max="2" width="15.85546875" customWidth="1"/>
    <col min="3" max="3" width="39" customWidth="1"/>
    <col min="4" max="4" width="19.7109375" customWidth="1"/>
    <col min="5" max="5" width="15.5703125" customWidth="1"/>
    <col min="6" max="6" width="9.5703125" customWidth="1"/>
    <col min="7" max="7" width="14.85546875" customWidth="1"/>
    <col min="9" max="9" width="14.140625" customWidth="1"/>
    <col min="10" max="10" width="9.42578125" customWidth="1"/>
    <col min="11" max="11" width="14.7109375" customWidth="1"/>
    <col min="12" max="12" width="10.140625" customWidth="1"/>
  </cols>
  <sheetData>
    <row r="1" spans="2:12" ht="15.75">
      <c r="B1" s="9" t="s">
        <v>530</v>
      </c>
      <c r="C1" s="9"/>
      <c r="D1" s="10" t="s">
        <v>355</v>
      </c>
      <c r="E1" s="35" t="s">
        <v>203</v>
      </c>
      <c r="G1" s="11"/>
      <c r="H1" s="11"/>
    </row>
    <row r="2" spans="2:12">
      <c r="B2" s="11" t="s">
        <v>533</v>
      </c>
      <c r="C2" s="11"/>
      <c r="D2" s="11"/>
      <c r="E2" s="11"/>
      <c r="F2" s="11"/>
      <c r="G2" s="11"/>
      <c r="H2" s="11"/>
    </row>
    <row r="3" spans="2:12" ht="13.5" thickBot="1">
      <c r="B3" s="11" t="s">
        <v>317</v>
      </c>
      <c r="C3" s="11"/>
      <c r="D3" s="12" t="s">
        <v>534</v>
      </c>
      <c r="F3" s="11"/>
      <c r="G3" s="11"/>
      <c r="H3" s="11"/>
    </row>
    <row r="4" spans="2:12" ht="13.5" thickBot="1">
      <c r="B4" s="13" t="s">
        <v>198</v>
      </c>
      <c r="C4" s="14" t="s">
        <v>535</v>
      </c>
      <c r="D4" s="14" t="s">
        <v>536</v>
      </c>
      <c r="E4" s="15">
        <v>2003</v>
      </c>
      <c r="F4" s="16" t="s">
        <v>269</v>
      </c>
      <c r="G4" s="15">
        <v>2004</v>
      </c>
      <c r="H4" s="16" t="s">
        <v>269</v>
      </c>
      <c r="I4" s="17">
        <v>2005</v>
      </c>
      <c r="J4" s="18" t="s">
        <v>270</v>
      </c>
      <c r="K4" s="17">
        <v>2006</v>
      </c>
      <c r="L4" s="18" t="s">
        <v>271</v>
      </c>
    </row>
    <row r="5" spans="2:12" ht="39" thickBot="1">
      <c r="B5" s="19"/>
      <c r="C5" s="20"/>
      <c r="D5" s="36" t="s">
        <v>537</v>
      </c>
      <c r="E5" s="30" t="s">
        <v>537</v>
      </c>
      <c r="F5" s="30" t="s">
        <v>538</v>
      </c>
      <c r="G5" s="30" t="s">
        <v>537</v>
      </c>
      <c r="H5" s="30" t="s">
        <v>538</v>
      </c>
      <c r="I5" s="30" t="s">
        <v>537</v>
      </c>
      <c r="J5" s="30" t="s">
        <v>538</v>
      </c>
      <c r="K5" s="30" t="s">
        <v>537</v>
      </c>
      <c r="L5" s="37" t="s">
        <v>538</v>
      </c>
    </row>
    <row r="6" spans="2:12">
      <c r="C6" s="21" t="s">
        <v>539</v>
      </c>
      <c r="D6" s="25"/>
      <c r="E6" s="96"/>
      <c r="F6" s="96"/>
      <c r="G6" s="96"/>
      <c r="H6" s="96"/>
      <c r="I6" s="96"/>
      <c r="J6" s="96"/>
      <c r="K6" s="111"/>
      <c r="L6" s="111"/>
    </row>
    <row r="7" spans="2:12">
      <c r="B7" s="22">
        <v>2701</v>
      </c>
      <c r="C7" t="s">
        <v>540</v>
      </c>
      <c r="D7" s="23" t="s">
        <v>303</v>
      </c>
      <c r="E7" s="96"/>
      <c r="F7" s="96"/>
      <c r="G7" s="96"/>
      <c r="H7" s="96"/>
      <c r="I7" s="96"/>
      <c r="J7" s="96"/>
      <c r="K7" s="111"/>
      <c r="L7" s="111"/>
    </row>
    <row r="8" spans="2:12">
      <c r="B8" s="22">
        <v>2709</v>
      </c>
      <c r="C8" t="s">
        <v>541</v>
      </c>
      <c r="D8" s="23" t="s">
        <v>303</v>
      </c>
      <c r="E8" s="96"/>
      <c r="F8" s="96"/>
      <c r="G8" s="96"/>
      <c r="H8" s="96"/>
      <c r="I8" s="96"/>
      <c r="J8" s="96"/>
      <c r="K8" s="111"/>
      <c r="L8" s="111"/>
    </row>
    <row r="9" spans="2:12">
      <c r="B9" s="22">
        <v>2710</v>
      </c>
      <c r="C9" t="s">
        <v>542</v>
      </c>
      <c r="D9" s="23" t="s">
        <v>303</v>
      </c>
      <c r="E9" s="96"/>
      <c r="F9" s="96"/>
      <c r="G9" s="96"/>
      <c r="H9" s="96"/>
      <c r="I9" s="96"/>
      <c r="J9" s="96"/>
      <c r="K9" s="111"/>
      <c r="L9" s="111"/>
    </row>
    <row r="10" spans="2:12">
      <c r="B10" s="22">
        <v>271121000</v>
      </c>
      <c r="C10" t="s">
        <v>543</v>
      </c>
      <c r="D10" s="23" t="s">
        <v>544</v>
      </c>
      <c r="E10" s="111"/>
      <c r="F10" s="111"/>
      <c r="G10" s="111"/>
      <c r="H10" s="111"/>
      <c r="I10" s="111"/>
      <c r="J10" s="111"/>
      <c r="K10" s="111"/>
      <c r="L10" s="111"/>
    </row>
    <row r="11" spans="2:12">
      <c r="B11" s="22">
        <v>2716</v>
      </c>
      <c r="C11" t="s">
        <v>433</v>
      </c>
      <c r="D11" s="23" t="s">
        <v>545</v>
      </c>
      <c r="E11" s="111"/>
      <c r="F11" s="111"/>
      <c r="G11" s="111"/>
      <c r="H11" s="111"/>
      <c r="I11" s="111"/>
      <c r="J11" s="111"/>
      <c r="K11" s="111"/>
      <c r="L11" s="111"/>
    </row>
    <row r="12" spans="2:12">
      <c r="B12" s="22">
        <v>3102</v>
      </c>
      <c r="C12" t="s">
        <v>546</v>
      </c>
      <c r="D12" s="23" t="s">
        <v>303</v>
      </c>
      <c r="E12" s="111"/>
      <c r="F12" s="111"/>
      <c r="G12" s="111"/>
      <c r="H12" s="111"/>
      <c r="I12" s="111"/>
      <c r="J12" s="111"/>
      <c r="K12" s="111"/>
      <c r="L12" s="111"/>
    </row>
    <row r="13" spans="2:12">
      <c r="B13" s="22">
        <v>3104</v>
      </c>
      <c r="C13" t="s">
        <v>547</v>
      </c>
      <c r="D13" s="23" t="s">
        <v>303</v>
      </c>
      <c r="E13" s="111"/>
      <c r="F13" s="111"/>
      <c r="G13" s="111"/>
      <c r="H13" s="111"/>
      <c r="I13" s="111"/>
      <c r="J13" s="111"/>
      <c r="K13" s="111"/>
      <c r="L13" s="111"/>
    </row>
    <row r="14" spans="2:12">
      <c r="B14" s="22">
        <v>3105</v>
      </c>
      <c r="C14" t="s">
        <v>548</v>
      </c>
      <c r="D14" s="23" t="s">
        <v>303</v>
      </c>
      <c r="E14" s="111"/>
      <c r="F14" s="111"/>
      <c r="G14" s="111"/>
      <c r="H14" s="111"/>
      <c r="I14" s="111"/>
      <c r="J14" s="111"/>
      <c r="K14" s="111"/>
      <c r="L14" s="111"/>
    </row>
    <row r="15" spans="2:12">
      <c r="B15" s="22">
        <v>4403</v>
      </c>
      <c r="C15" t="s">
        <v>549</v>
      </c>
      <c r="D15" s="23" t="s">
        <v>550</v>
      </c>
      <c r="E15" s="111"/>
      <c r="F15" s="111"/>
      <c r="G15" s="111"/>
      <c r="H15" s="111"/>
      <c r="I15" s="111"/>
      <c r="J15" s="111"/>
      <c r="K15" s="111"/>
      <c r="L15" s="111"/>
    </row>
    <row r="16" spans="2:12">
      <c r="B16" s="22">
        <v>4407</v>
      </c>
      <c r="C16" t="s">
        <v>551</v>
      </c>
      <c r="D16" s="23" t="s">
        <v>303</v>
      </c>
      <c r="E16" s="111"/>
      <c r="F16" s="111"/>
      <c r="G16" s="111"/>
      <c r="H16" s="111"/>
      <c r="I16" s="111"/>
      <c r="J16" s="111"/>
      <c r="K16" s="111"/>
      <c r="L16" s="111"/>
    </row>
    <row r="17" spans="2:12">
      <c r="B17" s="22" t="s">
        <v>552</v>
      </c>
      <c r="C17" t="s">
        <v>553</v>
      </c>
      <c r="D17" s="23" t="s">
        <v>303</v>
      </c>
      <c r="E17" s="111"/>
      <c r="F17" s="111"/>
      <c r="G17" s="111"/>
      <c r="H17" s="111"/>
      <c r="I17" s="111"/>
      <c r="J17" s="111"/>
      <c r="K17" s="111"/>
      <c r="L17" s="111"/>
    </row>
    <row r="18" spans="2:12">
      <c r="B18" s="22">
        <v>72</v>
      </c>
      <c r="C18" t="s">
        <v>554</v>
      </c>
      <c r="D18" s="23" t="s">
        <v>303</v>
      </c>
      <c r="E18" s="111"/>
      <c r="F18" s="111"/>
      <c r="G18" s="111"/>
      <c r="H18" s="111"/>
      <c r="I18" s="111"/>
      <c r="J18" s="111"/>
      <c r="K18" s="111"/>
      <c r="L18" s="111"/>
    </row>
    <row r="19" spans="2:12">
      <c r="B19" s="22">
        <v>7403</v>
      </c>
      <c r="C19" t="s">
        <v>555</v>
      </c>
      <c r="D19" s="23" t="s">
        <v>303</v>
      </c>
      <c r="E19" s="111"/>
      <c r="F19" s="111"/>
      <c r="G19" s="111"/>
      <c r="H19" s="111"/>
      <c r="I19" s="111"/>
      <c r="J19" s="111"/>
      <c r="K19" s="111"/>
      <c r="L19" s="111"/>
    </row>
    <row r="20" spans="2:12">
      <c r="B20" s="22">
        <v>7502</v>
      </c>
      <c r="C20" t="s">
        <v>559</v>
      </c>
      <c r="D20" s="23" t="s">
        <v>303</v>
      </c>
      <c r="E20" s="111"/>
      <c r="F20" s="111"/>
      <c r="G20" s="111"/>
      <c r="H20" s="111"/>
      <c r="I20" s="111"/>
      <c r="J20" s="111"/>
      <c r="K20" s="111"/>
      <c r="L20" s="111"/>
    </row>
    <row r="21" spans="2:12">
      <c r="B21" s="22">
        <v>7601</v>
      </c>
      <c r="C21" t="s">
        <v>560</v>
      </c>
      <c r="D21" s="23" t="s">
        <v>303</v>
      </c>
      <c r="E21" s="111"/>
      <c r="F21" s="111"/>
      <c r="G21" s="111"/>
      <c r="H21" s="111"/>
      <c r="I21" s="111"/>
      <c r="J21" s="111"/>
      <c r="K21" s="111"/>
      <c r="L21" s="111"/>
    </row>
    <row r="22" spans="2:12">
      <c r="B22" s="22" t="s">
        <v>561</v>
      </c>
      <c r="C22" t="s">
        <v>562</v>
      </c>
      <c r="D22" s="23" t="s">
        <v>563</v>
      </c>
      <c r="E22" s="111"/>
      <c r="F22" s="111"/>
      <c r="G22" s="111"/>
      <c r="H22" s="111"/>
      <c r="I22" s="111"/>
      <c r="J22" s="111"/>
      <c r="K22" s="113"/>
      <c r="L22" s="111"/>
    </row>
    <row r="23" spans="2:12">
      <c r="B23" s="22">
        <v>8703</v>
      </c>
      <c r="C23" t="s">
        <v>564</v>
      </c>
      <c r="D23" s="23" t="s">
        <v>565</v>
      </c>
      <c r="E23" s="111"/>
      <c r="F23" s="111"/>
      <c r="G23" s="111"/>
      <c r="H23" s="111"/>
      <c r="I23" s="111"/>
      <c r="J23" s="111"/>
      <c r="K23" s="111"/>
      <c r="L23" s="111"/>
    </row>
    <row r="24" spans="2:12">
      <c r="B24" s="22">
        <v>8704</v>
      </c>
      <c r="C24" t="s">
        <v>284</v>
      </c>
      <c r="D24" s="23" t="s">
        <v>565</v>
      </c>
      <c r="E24" s="111"/>
      <c r="F24" s="111"/>
      <c r="G24" s="111"/>
      <c r="H24" s="111"/>
      <c r="I24" s="111"/>
      <c r="J24" s="111"/>
      <c r="K24" s="111"/>
      <c r="L24" s="111"/>
    </row>
    <row r="25" spans="2:12">
      <c r="B25" s="22"/>
      <c r="C25" s="21" t="s">
        <v>566</v>
      </c>
      <c r="D25" s="23"/>
      <c r="E25" s="111"/>
      <c r="F25" s="111"/>
      <c r="G25" s="111"/>
      <c r="H25" s="111"/>
      <c r="I25" s="111"/>
      <c r="J25" s="111"/>
      <c r="K25" s="111"/>
      <c r="L25" s="111"/>
    </row>
    <row r="26" spans="2:12">
      <c r="B26" s="22" t="s">
        <v>567</v>
      </c>
      <c r="C26" t="s">
        <v>569</v>
      </c>
      <c r="D26" s="23" t="s">
        <v>303</v>
      </c>
      <c r="E26" s="111"/>
      <c r="F26" s="111"/>
      <c r="G26" s="111"/>
      <c r="H26" s="111"/>
      <c r="I26" s="111"/>
      <c r="J26" s="111"/>
      <c r="K26" s="111"/>
      <c r="L26" s="111"/>
    </row>
    <row r="27" spans="2:12">
      <c r="B27" s="24" t="s">
        <v>570</v>
      </c>
      <c r="C27" t="s">
        <v>571</v>
      </c>
      <c r="D27" s="23" t="s">
        <v>303</v>
      </c>
      <c r="E27" s="111"/>
      <c r="F27" s="111"/>
      <c r="G27" s="111"/>
      <c r="H27" s="111"/>
      <c r="I27" s="111"/>
      <c r="J27" s="111"/>
      <c r="K27" s="111"/>
      <c r="L27" s="111"/>
    </row>
    <row r="28" spans="2:12">
      <c r="B28" s="24" t="s">
        <v>572</v>
      </c>
      <c r="C28" t="s">
        <v>573</v>
      </c>
      <c r="D28" s="23" t="s">
        <v>303</v>
      </c>
      <c r="E28" s="111"/>
      <c r="F28" s="111"/>
      <c r="G28" s="111"/>
      <c r="H28" s="111"/>
      <c r="I28" s="111"/>
      <c r="J28" s="111"/>
      <c r="K28" s="111"/>
      <c r="L28" s="111"/>
    </row>
    <row r="29" spans="2:12">
      <c r="B29" s="22">
        <v>10</v>
      </c>
      <c r="C29" t="s">
        <v>574</v>
      </c>
      <c r="D29" s="23" t="s">
        <v>563</v>
      </c>
      <c r="E29" s="111"/>
      <c r="F29" s="111"/>
      <c r="G29" s="111"/>
      <c r="H29" s="111"/>
      <c r="I29" s="111"/>
      <c r="J29" s="111"/>
      <c r="K29" s="113"/>
      <c r="L29" s="111"/>
    </row>
    <row r="30" spans="2:12">
      <c r="B30" s="22">
        <v>1512</v>
      </c>
      <c r="C30" t="s">
        <v>575</v>
      </c>
      <c r="D30" s="23" t="s">
        <v>303</v>
      </c>
      <c r="E30" s="111"/>
      <c r="F30" s="111"/>
      <c r="G30" s="111"/>
      <c r="H30" s="111"/>
      <c r="I30" s="111"/>
      <c r="J30" s="111"/>
      <c r="K30" s="111"/>
      <c r="L30" s="111"/>
    </row>
    <row r="31" spans="2:12">
      <c r="B31" s="22" t="s">
        <v>576</v>
      </c>
      <c r="C31" t="s">
        <v>577</v>
      </c>
      <c r="D31" s="23" t="s">
        <v>303</v>
      </c>
      <c r="E31" s="111"/>
      <c r="F31" s="111"/>
      <c r="G31" s="111"/>
      <c r="H31" s="111"/>
      <c r="I31" s="111"/>
      <c r="J31" s="111"/>
      <c r="K31" s="111"/>
      <c r="L31" s="111"/>
    </row>
    <row r="32" spans="2:12">
      <c r="B32" s="22">
        <v>170199100</v>
      </c>
      <c r="C32" t="s">
        <v>578</v>
      </c>
      <c r="D32" s="23" t="s">
        <v>303</v>
      </c>
      <c r="E32" s="111"/>
      <c r="F32" s="111"/>
      <c r="G32" s="111"/>
      <c r="H32" s="111"/>
      <c r="I32" s="111"/>
      <c r="J32" s="111"/>
      <c r="K32" s="111"/>
      <c r="L32" s="111"/>
    </row>
    <row r="33" spans="2:12">
      <c r="B33" s="22">
        <v>22</v>
      </c>
      <c r="C33" t="s">
        <v>579</v>
      </c>
      <c r="D33" s="23" t="s">
        <v>563</v>
      </c>
      <c r="E33" s="111"/>
      <c r="F33" s="111"/>
      <c r="G33" s="111"/>
      <c r="H33" s="111"/>
      <c r="I33" s="111"/>
      <c r="J33" s="111"/>
      <c r="K33" s="113"/>
      <c r="L33" s="111"/>
    </row>
    <row r="34" spans="2:12">
      <c r="B34" s="22">
        <v>2701</v>
      </c>
      <c r="C34" t="s">
        <v>540</v>
      </c>
      <c r="D34" s="23" t="s">
        <v>303</v>
      </c>
      <c r="E34" s="111"/>
      <c r="F34" s="111"/>
      <c r="G34" s="111"/>
      <c r="H34" s="111"/>
      <c r="I34" s="111"/>
      <c r="J34" s="111"/>
      <c r="K34" s="111"/>
      <c r="L34" s="111"/>
    </row>
    <row r="35" spans="2:12">
      <c r="B35" s="22" t="s">
        <v>580</v>
      </c>
      <c r="C35" t="s">
        <v>581</v>
      </c>
      <c r="D35" s="23" t="s">
        <v>303</v>
      </c>
      <c r="E35" s="111"/>
      <c r="F35" s="111"/>
      <c r="G35" s="111"/>
      <c r="H35" s="111"/>
      <c r="I35" s="111"/>
      <c r="J35" s="111"/>
      <c r="K35" s="111"/>
      <c r="L35" s="111"/>
    </row>
    <row r="36" spans="2:12">
      <c r="B36" s="22">
        <v>5101</v>
      </c>
      <c r="C36" t="s">
        <v>582</v>
      </c>
      <c r="D36" s="23" t="s">
        <v>303</v>
      </c>
      <c r="E36" s="111"/>
      <c r="F36" s="111"/>
      <c r="G36" s="111"/>
      <c r="H36" s="111"/>
      <c r="I36" s="111"/>
      <c r="J36" s="111"/>
      <c r="K36" s="111"/>
      <c r="L36" s="111"/>
    </row>
    <row r="37" spans="2:12">
      <c r="B37" s="22">
        <v>5201</v>
      </c>
      <c r="C37" t="s">
        <v>583</v>
      </c>
      <c r="D37" s="23" t="s">
        <v>303</v>
      </c>
      <c r="E37" s="111"/>
      <c r="F37" s="111"/>
      <c r="G37" s="111"/>
      <c r="H37" s="111"/>
      <c r="I37" s="111"/>
      <c r="J37" s="111"/>
      <c r="K37" s="111"/>
      <c r="L37" s="111"/>
    </row>
    <row r="38" spans="2:12">
      <c r="B38" s="22">
        <v>5301</v>
      </c>
      <c r="C38" t="s">
        <v>584</v>
      </c>
      <c r="D38" s="23" t="s">
        <v>303</v>
      </c>
      <c r="E38" s="111"/>
      <c r="F38" s="111"/>
      <c r="G38" s="111"/>
      <c r="H38" s="111"/>
      <c r="I38" s="111"/>
      <c r="J38" s="111"/>
      <c r="K38" s="111"/>
      <c r="L38" s="111"/>
    </row>
    <row r="39" spans="2:12">
      <c r="B39" s="22">
        <v>72</v>
      </c>
      <c r="C39" t="s">
        <v>554</v>
      </c>
      <c r="D39" s="23" t="s">
        <v>303</v>
      </c>
      <c r="E39" s="111"/>
      <c r="F39" s="111"/>
      <c r="G39" s="111"/>
      <c r="H39" s="111"/>
      <c r="I39" s="111"/>
      <c r="J39" s="111"/>
      <c r="K39" s="111"/>
      <c r="L39" s="111"/>
    </row>
    <row r="40" spans="2:12">
      <c r="B40" s="22">
        <v>7202</v>
      </c>
      <c r="C40" t="s">
        <v>585</v>
      </c>
      <c r="D40" s="23" t="s">
        <v>303</v>
      </c>
      <c r="E40" s="111"/>
      <c r="F40" s="111"/>
      <c r="G40" s="111"/>
      <c r="H40" s="111"/>
      <c r="I40" s="111"/>
      <c r="J40" s="111"/>
      <c r="K40" s="111"/>
      <c r="L40" s="111"/>
    </row>
    <row r="41" spans="2:12">
      <c r="B41" s="22" t="s">
        <v>586</v>
      </c>
      <c r="C41" t="s">
        <v>294</v>
      </c>
      <c r="D41" s="23" t="s">
        <v>303</v>
      </c>
      <c r="E41" s="111"/>
      <c r="F41" s="111"/>
      <c r="G41" s="111"/>
      <c r="H41" s="111"/>
      <c r="I41" s="111"/>
      <c r="J41" s="111"/>
      <c r="K41" s="111"/>
      <c r="L41" s="111"/>
    </row>
    <row r="42" spans="2:12">
      <c r="B42" s="22">
        <v>7403</v>
      </c>
      <c r="C42" t="s">
        <v>555</v>
      </c>
      <c r="D42" s="38" t="s">
        <v>303</v>
      </c>
      <c r="E42" s="111"/>
      <c r="F42" s="113"/>
      <c r="G42" s="111"/>
      <c r="H42" s="113"/>
      <c r="I42" s="111"/>
      <c r="J42" s="113"/>
      <c r="K42" s="111"/>
      <c r="L42" s="111"/>
    </row>
    <row r="43" spans="2:12">
      <c r="B43" s="22">
        <v>7801</v>
      </c>
      <c r="C43" t="s">
        <v>587</v>
      </c>
      <c r="D43" s="23" t="s">
        <v>303</v>
      </c>
      <c r="E43" s="111"/>
      <c r="F43" s="111"/>
      <c r="G43" s="111"/>
      <c r="H43" s="111"/>
      <c r="I43" s="111"/>
      <c r="J43" s="111"/>
      <c r="K43" s="111"/>
      <c r="L43" s="111"/>
    </row>
    <row r="44" spans="2:12">
      <c r="B44" s="22" t="s">
        <v>561</v>
      </c>
      <c r="C44" t="s">
        <v>562</v>
      </c>
      <c r="D44" s="23" t="s">
        <v>563</v>
      </c>
      <c r="E44" s="111"/>
      <c r="F44" s="111"/>
      <c r="G44" s="111"/>
      <c r="H44" s="111"/>
      <c r="I44" s="111"/>
      <c r="J44" s="111"/>
      <c r="K44" s="113"/>
      <c r="L44" s="111"/>
    </row>
    <row r="45" spans="2:12">
      <c r="B45" s="22">
        <v>8703</v>
      </c>
      <c r="C45" t="s">
        <v>564</v>
      </c>
      <c r="D45" s="23" t="s">
        <v>565</v>
      </c>
      <c r="E45" s="111"/>
      <c r="F45" s="111"/>
      <c r="G45" s="111"/>
      <c r="H45" s="111"/>
      <c r="I45" s="111"/>
      <c r="J45" s="111"/>
      <c r="K45" s="111"/>
      <c r="L45" s="111"/>
    </row>
    <row r="46" spans="2:12">
      <c r="B46" s="22">
        <v>8704</v>
      </c>
      <c r="C46" t="s">
        <v>284</v>
      </c>
      <c r="D46" s="23" t="s">
        <v>565</v>
      </c>
      <c r="E46" s="111"/>
      <c r="F46" s="111"/>
      <c r="G46" s="111"/>
      <c r="H46" s="111"/>
      <c r="I46" s="111"/>
      <c r="J46" s="111"/>
      <c r="K46" s="111"/>
      <c r="L46" s="111"/>
    </row>
    <row r="47" spans="2:12">
      <c r="D47" s="23"/>
    </row>
    <row r="48" spans="2:12">
      <c r="B48" t="s">
        <v>199</v>
      </c>
      <c r="D48" s="23"/>
    </row>
    <row r="49" spans="4:10">
      <c r="D49" s="23"/>
    </row>
    <row r="50" spans="4:10">
      <c r="D50" s="23"/>
    </row>
    <row r="51" spans="4:10">
      <c r="D51" s="23"/>
    </row>
    <row r="52" spans="4:10">
      <c r="D52" s="23"/>
    </row>
    <row r="53" spans="4:10">
      <c r="D53" s="23"/>
    </row>
    <row r="54" spans="4:10">
      <c r="D54" s="21"/>
      <c r="F54" s="21"/>
      <c r="H54" s="21"/>
      <c r="J54" s="21"/>
    </row>
    <row r="55" spans="4:10">
      <c r="D55" s="23"/>
    </row>
    <row r="56" spans="4:10">
      <c r="D56" s="23"/>
    </row>
    <row r="57" spans="4:10">
      <c r="D57" s="23"/>
    </row>
    <row r="58" spans="4:10">
      <c r="D58" s="23"/>
    </row>
    <row r="59" spans="4:10">
      <c r="D59" s="23"/>
    </row>
    <row r="60" spans="4:10">
      <c r="D60" s="23"/>
    </row>
    <row r="61" spans="4:10">
      <c r="D61" s="23"/>
    </row>
    <row r="62" spans="4:10">
      <c r="D62" s="23"/>
    </row>
    <row r="63" spans="4:10">
      <c r="D63" s="21"/>
      <c r="F63" s="21"/>
      <c r="H63" s="21"/>
      <c r="J63" s="21"/>
    </row>
    <row r="64" spans="4:10">
      <c r="D64" s="21"/>
      <c r="F64" s="21"/>
      <c r="H64" s="21"/>
      <c r="J64" s="21"/>
    </row>
    <row r="65" spans="4:10">
      <c r="D65" s="21"/>
      <c r="F65" s="21"/>
      <c r="H65" s="21"/>
      <c r="J65" s="21"/>
    </row>
    <row r="66" spans="4:10">
      <c r="D66" s="23"/>
    </row>
    <row r="67" spans="4:10">
      <c r="D67" s="23"/>
    </row>
    <row r="68" spans="4:10">
      <c r="D68" s="23"/>
    </row>
    <row r="69" spans="4:10">
      <c r="D69" s="23"/>
    </row>
    <row r="70" spans="4:10">
      <c r="D70" s="21"/>
      <c r="F70" s="21"/>
      <c r="H70" s="21"/>
      <c r="J70" s="21"/>
    </row>
    <row r="71" spans="4:10">
      <c r="D71" s="21"/>
      <c r="F71" s="21"/>
      <c r="H71" s="21"/>
      <c r="J71" s="21"/>
    </row>
    <row r="72" spans="4:10">
      <c r="D72" s="23"/>
    </row>
    <row r="73" spans="4:10">
      <c r="D73" s="23"/>
    </row>
    <row r="74" spans="4:10">
      <c r="D74" s="23"/>
    </row>
    <row r="75" spans="4:10">
      <c r="D75" s="23"/>
    </row>
    <row r="76" spans="4:10">
      <c r="D76" s="21"/>
      <c r="F76" s="21"/>
      <c r="H76" s="21"/>
      <c r="J76" s="21"/>
    </row>
    <row r="77" spans="4:10">
      <c r="D77" s="23"/>
    </row>
    <row r="78" spans="4:10">
      <c r="D78" s="23"/>
    </row>
    <row r="79" spans="4:10">
      <c r="D79" s="23"/>
    </row>
    <row r="80" spans="4:10">
      <c r="D80" s="23"/>
    </row>
    <row r="81" spans="4:10">
      <c r="D81" s="21"/>
      <c r="F81" s="21"/>
      <c r="H81" s="21"/>
      <c r="J81" s="21"/>
    </row>
    <row r="82" spans="4:10">
      <c r="D82" s="23"/>
    </row>
    <row r="83" spans="4:10">
      <c r="D83" s="23"/>
    </row>
    <row r="84" spans="4:10">
      <c r="D84" s="21"/>
    </row>
    <row r="85" spans="4:10">
      <c r="D85" s="23"/>
    </row>
    <row r="86" spans="4:10">
      <c r="D86" s="23"/>
    </row>
  </sheetData>
  <sheetProtection password="E16C" sheet="1" objects="1" scenarios="1"/>
  <customSheetViews>
    <customSheetView guid="{77D4B8AA-2D12-454E-8920-2F102814BFC0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1"/>
      <headerFooter alignWithMargins="0"/>
    </customSheetView>
    <customSheetView guid="{0F955BED-3AA5-4ED9-8747-25E63CDA70F7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2"/>
      <headerFooter alignWithMargins="0"/>
    </customSheetView>
    <customSheetView guid="{F999748C-9832-11D8-83FB-00E04C392051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3"/>
      <headerFooter alignWithMargins="0"/>
    </customSheetView>
    <customSheetView guid="{1CCF9464-AEC0-4C0F-98A5-E7B17D04C7EE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4"/>
      <headerFooter alignWithMargins="0"/>
    </customSheetView>
    <customSheetView guid="{4D3410BB-2371-487E-AAF7-AC8AFE6E56CA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5"/>
      <headerFooter alignWithMargins="0"/>
    </customSheetView>
  </customSheetViews>
  <phoneticPr fontId="0" type="noConversion"/>
  <pageMargins left="0.39370078740157483" right="0.39370078740157483" top="0.78740157480314965" bottom="0.78740157480314965" header="0.51181102362204722" footer="0.51181102362204722"/>
  <pageSetup paperSize="9" scale="75" orientation="landscape" horizontalDpi="300" verticalDpi="300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B1:L155"/>
  <sheetViews>
    <sheetView zoomScale="75"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 activeCell="B7" sqref="B7"/>
    </sheetView>
  </sheetViews>
  <sheetFormatPr defaultRowHeight="12.75"/>
  <cols>
    <col min="1" max="1" width="5.7109375" customWidth="1"/>
    <col min="2" max="2" width="19.28515625" customWidth="1"/>
    <col min="3" max="3" width="36.42578125" customWidth="1"/>
    <col min="4" max="4" width="19.7109375" customWidth="1"/>
    <col min="5" max="5" width="14.7109375" customWidth="1"/>
    <col min="6" max="6" width="9.5703125" customWidth="1"/>
    <col min="7" max="7" width="14.85546875" customWidth="1"/>
    <col min="9" max="9" width="12.7109375" customWidth="1"/>
    <col min="10" max="10" width="9.42578125" customWidth="1"/>
    <col min="11" max="11" width="12.7109375" customWidth="1"/>
    <col min="12" max="12" width="8.5703125" customWidth="1"/>
  </cols>
  <sheetData>
    <row r="1" spans="2:12" ht="15.75">
      <c r="C1" s="9" t="s">
        <v>530</v>
      </c>
      <c r="D1" s="10" t="s">
        <v>201</v>
      </c>
      <c r="E1" s="11"/>
      <c r="G1" s="11"/>
      <c r="H1" s="11"/>
    </row>
    <row r="2" spans="2:12">
      <c r="B2" s="11" t="s">
        <v>533</v>
      </c>
      <c r="C2" s="11"/>
      <c r="D2" s="11"/>
      <c r="E2" s="11"/>
      <c r="F2" s="11"/>
      <c r="G2" s="11"/>
      <c r="H2" s="11"/>
    </row>
    <row r="3" spans="2:12" ht="13.5" thickBot="1">
      <c r="B3" s="11" t="s">
        <v>317</v>
      </c>
      <c r="C3" s="11"/>
      <c r="D3" s="12" t="s">
        <v>534</v>
      </c>
      <c r="F3" s="11"/>
      <c r="G3" s="11"/>
      <c r="H3" s="11"/>
    </row>
    <row r="4" spans="2:12" ht="13.5" thickBot="1">
      <c r="B4" s="13" t="s">
        <v>198</v>
      </c>
      <c r="C4" s="14" t="s">
        <v>535</v>
      </c>
      <c r="D4" s="29" t="s">
        <v>649</v>
      </c>
      <c r="E4" s="15">
        <v>2003</v>
      </c>
      <c r="F4" s="16" t="s">
        <v>269</v>
      </c>
      <c r="G4" s="15">
        <v>2004</v>
      </c>
      <c r="H4" s="16" t="s">
        <v>269</v>
      </c>
      <c r="I4" s="17">
        <v>2005</v>
      </c>
      <c r="J4" s="18" t="s">
        <v>270</v>
      </c>
      <c r="K4" s="17">
        <v>2006</v>
      </c>
      <c r="L4" s="18" t="s">
        <v>271</v>
      </c>
    </row>
    <row r="5" spans="2:12" ht="39" customHeight="1" thickBot="1">
      <c r="B5" s="19"/>
      <c r="C5" s="20"/>
      <c r="D5" s="30" t="s">
        <v>537</v>
      </c>
      <c r="E5" s="30" t="s">
        <v>537</v>
      </c>
      <c r="F5" s="30" t="s">
        <v>538</v>
      </c>
      <c r="G5" s="30" t="s">
        <v>537</v>
      </c>
      <c r="H5" s="30" t="s">
        <v>538</v>
      </c>
      <c r="I5" s="30" t="s">
        <v>537</v>
      </c>
      <c r="J5" s="30" t="s">
        <v>538</v>
      </c>
      <c r="K5" s="30" t="s">
        <v>537</v>
      </c>
      <c r="L5" s="37" t="s">
        <v>538</v>
      </c>
    </row>
    <row r="6" spans="2:12">
      <c r="B6" s="25"/>
      <c r="C6" s="26" t="s">
        <v>539</v>
      </c>
      <c r="D6" s="25"/>
      <c r="E6" s="25"/>
      <c r="F6" s="25"/>
      <c r="G6" s="25"/>
      <c r="H6" s="25"/>
      <c r="I6" s="25"/>
      <c r="J6" s="25"/>
      <c r="K6" s="25"/>
    </row>
    <row r="7" spans="2:12">
      <c r="B7" s="22">
        <v>1001</v>
      </c>
      <c r="C7" s="39" t="s">
        <v>588</v>
      </c>
      <c r="D7" s="23" t="s">
        <v>303</v>
      </c>
      <c r="E7" s="96"/>
      <c r="F7" s="96"/>
      <c r="G7" s="96"/>
      <c r="H7" s="96"/>
      <c r="I7" s="96"/>
      <c r="J7" s="96"/>
      <c r="K7" s="96"/>
      <c r="L7" s="111"/>
    </row>
    <row r="8" spans="2:12">
      <c r="B8" s="24" t="s">
        <v>615</v>
      </c>
      <c r="C8" s="39" t="s">
        <v>616</v>
      </c>
      <c r="D8" s="23" t="s">
        <v>303</v>
      </c>
      <c r="E8" s="96"/>
      <c r="F8" s="96"/>
      <c r="G8" s="96"/>
      <c r="H8" s="96"/>
      <c r="I8" s="96"/>
      <c r="J8" s="96"/>
      <c r="K8" s="96"/>
      <c r="L8" s="111"/>
    </row>
    <row r="9" spans="2:12">
      <c r="B9" s="22">
        <v>220860110</v>
      </c>
      <c r="C9" s="39" t="s">
        <v>595</v>
      </c>
      <c r="D9" s="23" t="s">
        <v>303</v>
      </c>
      <c r="E9" s="96"/>
      <c r="F9" s="96"/>
      <c r="G9" s="96"/>
      <c r="H9" s="96"/>
      <c r="I9" s="96"/>
      <c r="J9" s="96"/>
      <c r="K9" s="96"/>
      <c r="L9" s="111"/>
    </row>
    <row r="10" spans="2:12">
      <c r="B10" s="22">
        <v>2510</v>
      </c>
      <c r="C10" s="39" t="s">
        <v>596</v>
      </c>
      <c r="D10" s="23" t="s">
        <v>303</v>
      </c>
      <c r="E10" s="111"/>
      <c r="F10" s="111"/>
      <c r="G10" s="111"/>
      <c r="H10" s="111"/>
      <c r="I10" s="111"/>
      <c r="J10" s="111"/>
      <c r="K10" s="111"/>
      <c r="L10" s="111"/>
    </row>
    <row r="11" spans="2:12">
      <c r="B11" s="22">
        <v>2601</v>
      </c>
      <c r="C11" s="39" t="s">
        <v>597</v>
      </c>
      <c r="D11" s="23" t="s">
        <v>303</v>
      </c>
      <c r="E11" s="111"/>
      <c r="F11" s="111"/>
      <c r="G11" s="111"/>
      <c r="H11" s="111"/>
      <c r="I11" s="111"/>
      <c r="J11" s="111"/>
      <c r="K11" s="111"/>
      <c r="L11" s="111"/>
    </row>
    <row r="12" spans="2:12">
      <c r="B12" s="22">
        <v>2701</v>
      </c>
      <c r="C12" s="39" t="s">
        <v>540</v>
      </c>
      <c r="D12" s="23" t="s">
        <v>303</v>
      </c>
      <c r="E12" s="111"/>
      <c r="F12" s="111"/>
      <c r="G12" s="111"/>
      <c r="H12" s="111"/>
      <c r="I12" s="111"/>
      <c r="J12" s="111"/>
      <c r="K12" s="111"/>
      <c r="L12" s="111"/>
    </row>
    <row r="13" spans="2:12">
      <c r="B13" s="22">
        <v>2704</v>
      </c>
      <c r="C13" s="39" t="s">
        <v>598</v>
      </c>
      <c r="D13" s="23" t="s">
        <v>303</v>
      </c>
      <c r="E13" s="111"/>
      <c r="F13" s="111"/>
      <c r="G13" s="111"/>
      <c r="H13" s="108"/>
      <c r="I13" s="108"/>
      <c r="J13" s="108"/>
      <c r="K13" s="108"/>
      <c r="L13" s="108"/>
    </row>
    <row r="14" spans="2:12">
      <c r="B14" s="22">
        <v>2709</v>
      </c>
      <c r="C14" s="39" t="s">
        <v>541</v>
      </c>
      <c r="D14" s="23" t="s">
        <v>303</v>
      </c>
      <c r="E14" s="108"/>
      <c r="F14" s="111"/>
      <c r="G14" s="108"/>
      <c r="H14" s="108"/>
      <c r="I14" s="108"/>
      <c r="J14" s="108"/>
      <c r="K14" s="108"/>
      <c r="L14" s="108"/>
    </row>
    <row r="15" spans="2:12">
      <c r="B15" s="22">
        <v>2710</v>
      </c>
      <c r="C15" s="39" t="s">
        <v>542</v>
      </c>
      <c r="D15" s="23" t="s">
        <v>303</v>
      </c>
      <c r="E15" s="108"/>
      <c r="F15" s="111"/>
      <c r="G15" s="108"/>
      <c r="H15" s="108"/>
      <c r="I15" s="108"/>
      <c r="J15" s="108"/>
      <c r="K15" s="108"/>
      <c r="L15" s="108"/>
    </row>
    <row r="16" spans="2:12">
      <c r="B16" s="27" t="s">
        <v>646</v>
      </c>
      <c r="C16" s="39" t="s">
        <v>290</v>
      </c>
      <c r="D16" s="23" t="s">
        <v>303</v>
      </c>
      <c r="E16" s="108"/>
      <c r="F16" s="111"/>
      <c r="G16" s="111"/>
      <c r="H16" s="111"/>
      <c r="I16" s="111"/>
      <c r="J16" s="111"/>
      <c r="K16" s="111"/>
      <c r="L16" s="111"/>
    </row>
    <row r="17" spans="2:12">
      <c r="B17" s="28">
        <v>2710192100</v>
      </c>
      <c r="C17" s="39" t="s">
        <v>647</v>
      </c>
      <c r="D17" s="23" t="s">
        <v>303</v>
      </c>
      <c r="E17" s="108"/>
      <c r="F17" s="111"/>
      <c r="G17" s="111"/>
      <c r="H17" s="111"/>
      <c r="I17" s="111"/>
      <c r="J17" s="111"/>
      <c r="K17" s="111"/>
      <c r="L17" s="111"/>
    </row>
    <row r="18" spans="2:12">
      <c r="B18" s="27" t="s">
        <v>648</v>
      </c>
      <c r="C18" s="39" t="s">
        <v>599</v>
      </c>
      <c r="D18" s="23" t="s">
        <v>303</v>
      </c>
      <c r="E18" s="108"/>
      <c r="F18" s="108"/>
      <c r="G18" s="111"/>
      <c r="H18" s="111"/>
      <c r="I18" s="111"/>
      <c r="J18" s="111"/>
      <c r="K18" s="111"/>
      <c r="L18" s="111"/>
    </row>
    <row r="19" spans="2:12">
      <c r="B19" s="27" t="s">
        <v>200</v>
      </c>
      <c r="C19" s="39" t="s">
        <v>600</v>
      </c>
      <c r="D19" s="23" t="s">
        <v>303</v>
      </c>
      <c r="E19" s="108"/>
      <c r="F19" s="108"/>
      <c r="G19" s="111"/>
      <c r="H19" s="111"/>
      <c r="I19" s="111"/>
      <c r="J19" s="111"/>
      <c r="K19" s="111"/>
      <c r="L19" s="111"/>
    </row>
    <row r="20" spans="2:12">
      <c r="B20" s="22">
        <v>271121000</v>
      </c>
      <c r="C20" s="39" t="s">
        <v>543</v>
      </c>
      <c r="D20" s="23" t="s">
        <v>544</v>
      </c>
      <c r="E20" s="108"/>
      <c r="F20" s="108"/>
      <c r="G20" s="111"/>
      <c r="H20" s="111"/>
      <c r="I20" s="111"/>
      <c r="J20" s="111"/>
      <c r="K20" s="111"/>
      <c r="L20" s="111"/>
    </row>
    <row r="21" spans="2:12">
      <c r="B21" s="22">
        <v>2716</v>
      </c>
      <c r="C21" s="39" t="s">
        <v>433</v>
      </c>
      <c r="D21" s="23" t="s">
        <v>545</v>
      </c>
      <c r="E21" s="108"/>
      <c r="F21" s="108"/>
      <c r="G21" s="111"/>
      <c r="H21" s="111"/>
      <c r="I21" s="111"/>
      <c r="J21" s="111"/>
      <c r="K21" s="111"/>
      <c r="L21" s="111"/>
    </row>
    <row r="22" spans="2:12">
      <c r="B22" s="22">
        <v>281410000</v>
      </c>
      <c r="C22" s="39" t="s">
        <v>601</v>
      </c>
      <c r="D22" s="23" t="s">
        <v>303</v>
      </c>
      <c r="E22" s="108"/>
      <c r="F22" s="108"/>
      <c r="G22" s="108"/>
      <c r="H22" s="111"/>
      <c r="I22" s="108"/>
      <c r="J22" s="108"/>
      <c r="K22" s="108"/>
      <c r="L22" s="108"/>
    </row>
    <row r="23" spans="2:12">
      <c r="B23" s="22">
        <v>290511</v>
      </c>
      <c r="C23" s="39" t="s">
        <v>602</v>
      </c>
      <c r="D23" s="23" t="s">
        <v>303</v>
      </c>
      <c r="E23" s="108"/>
      <c r="F23" s="108"/>
      <c r="G23" s="111"/>
      <c r="H23" s="111"/>
      <c r="I23" s="108"/>
      <c r="J23" s="108"/>
      <c r="K23" s="108"/>
      <c r="L23" s="108"/>
    </row>
    <row r="24" spans="2:12">
      <c r="B24" s="22">
        <v>3102</v>
      </c>
      <c r="C24" s="39" t="s">
        <v>546</v>
      </c>
      <c r="D24" s="23" t="s">
        <v>303</v>
      </c>
      <c r="E24" s="108"/>
      <c r="F24" s="108"/>
      <c r="G24" s="108"/>
      <c r="H24" s="108"/>
      <c r="I24" s="108"/>
      <c r="J24" s="108"/>
      <c r="K24" s="108"/>
      <c r="L24" s="108"/>
    </row>
    <row r="25" spans="2:12">
      <c r="B25" s="22">
        <v>3104</v>
      </c>
      <c r="C25" s="39" t="s">
        <v>547</v>
      </c>
      <c r="D25" s="23" t="s">
        <v>303</v>
      </c>
      <c r="E25" s="108"/>
      <c r="F25" s="108"/>
      <c r="G25" s="108"/>
      <c r="H25" s="108"/>
      <c r="I25" s="108"/>
      <c r="J25" s="108"/>
      <c r="K25" s="108"/>
      <c r="L25" s="108"/>
    </row>
    <row r="26" spans="2:12">
      <c r="B26" s="22">
        <v>3105</v>
      </c>
      <c r="C26" s="39" t="s">
        <v>548</v>
      </c>
      <c r="D26" s="23" t="s">
        <v>303</v>
      </c>
      <c r="E26" s="108"/>
      <c r="F26" s="108"/>
      <c r="G26" s="111"/>
      <c r="H26" s="111"/>
      <c r="I26" s="111"/>
      <c r="J26" s="111"/>
      <c r="K26" s="111"/>
      <c r="L26" s="111"/>
    </row>
    <row r="27" spans="2:12">
      <c r="B27" s="22">
        <v>4002</v>
      </c>
      <c r="C27" s="39" t="s">
        <v>603</v>
      </c>
      <c r="D27" s="23" t="s">
        <v>303</v>
      </c>
      <c r="E27" s="108"/>
      <c r="F27" s="108"/>
      <c r="G27" s="111"/>
      <c r="H27" s="111"/>
      <c r="I27" s="111"/>
      <c r="J27" s="111"/>
      <c r="K27" s="111"/>
      <c r="L27" s="111"/>
    </row>
    <row r="28" spans="2:12">
      <c r="B28" s="22">
        <v>4403</v>
      </c>
      <c r="C28" s="39" t="s">
        <v>549</v>
      </c>
      <c r="D28" s="23" t="s">
        <v>550</v>
      </c>
      <c r="E28" s="108"/>
      <c r="F28" s="108"/>
      <c r="G28" s="108"/>
      <c r="H28" s="108"/>
      <c r="I28" s="108"/>
      <c r="J28" s="108"/>
      <c r="K28" s="108"/>
      <c r="L28" s="108"/>
    </row>
    <row r="29" spans="2:12">
      <c r="B29" s="22">
        <v>4407</v>
      </c>
      <c r="C29" s="39" t="s">
        <v>551</v>
      </c>
      <c r="D29" s="23" t="s">
        <v>303</v>
      </c>
      <c r="E29" s="108"/>
      <c r="F29" s="108"/>
      <c r="G29" s="108"/>
      <c r="H29" s="108"/>
      <c r="I29" s="108"/>
      <c r="J29" s="108"/>
      <c r="K29" s="108"/>
      <c r="L29" s="108"/>
    </row>
    <row r="30" spans="2:12">
      <c r="B30" s="22">
        <v>4412</v>
      </c>
      <c r="C30" s="39" t="s">
        <v>604</v>
      </c>
      <c r="D30" s="23" t="s">
        <v>550</v>
      </c>
      <c r="E30" s="108"/>
      <c r="F30" s="108"/>
      <c r="G30" s="108"/>
      <c r="H30" s="108"/>
      <c r="I30" s="108"/>
      <c r="J30" s="108"/>
      <c r="K30" s="108"/>
      <c r="L30" s="108"/>
    </row>
    <row r="31" spans="2:12">
      <c r="B31" s="22" t="s">
        <v>552</v>
      </c>
      <c r="C31" s="39" t="s">
        <v>553</v>
      </c>
      <c r="D31" s="23" t="s">
        <v>303</v>
      </c>
      <c r="E31" s="108"/>
      <c r="F31" s="108"/>
      <c r="G31" s="111"/>
      <c r="H31" s="111"/>
      <c r="I31" s="111"/>
      <c r="J31" s="111"/>
      <c r="K31" s="111"/>
      <c r="L31" s="111"/>
    </row>
    <row r="32" spans="2:12">
      <c r="B32" s="22">
        <v>4801</v>
      </c>
      <c r="C32" s="39" t="s">
        <v>605</v>
      </c>
      <c r="D32" s="23" t="s">
        <v>303</v>
      </c>
      <c r="E32" s="108"/>
      <c r="F32" s="108"/>
      <c r="G32" s="108"/>
      <c r="H32" s="108"/>
      <c r="I32" s="108"/>
      <c r="J32" s="108"/>
      <c r="K32" s="108"/>
      <c r="L32" s="108"/>
    </row>
    <row r="33" spans="2:12">
      <c r="B33" s="22" t="s">
        <v>606</v>
      </c>
      <c r="C33" s="39" t="s">
        <v>308</v>
      </c>
      <c r="D33" s="23" t="s">
        <v>607</v>
      </c>
      <c r="E33" s="108"/>
      <c r="F33" s="108"/>
      <c r="G33" s="111"/>
      <c r="H33" s="108"/>
      <c r="I33" s="108"/>
      <c r="J33" s="108"/>
      <c r="K33" s="108"/>
      <c r="L33" s="108"/>
    </row>
    <row r="34" spans="2:12">
      <c r="B34" s="22">
        <v>72</v>
      </c>
      <c r="C34" s="39" t="s">
        <v>554</v>
      </c>
      <c r="D34" s="23" t="s">
        <v>303</v>
      </c>
      <c r="E34" s="108"/>
      <c r="F34" s="108"/>
      <c r="G34" s="108"/>
      <c r="H34" s="108"/>
      <c r="I34" s="108"/>
      <c r="J34" s="108"/>
      <c r="K34" s="108"/>
      <c r="L34" s="108"/>
    </row>
    <row r="35" spans="2:12" ht="25.5">
      <c r="B35" s="40" t="s">
        <v>608</v>
      </c>
      <c r="C35" s="39" t="s">
        <v>609</v>
      </c>
      <c r="D35" s="23" t="s">
        <v>303</v>
      </c>
      <c r="E35" s="108"/>
      <c r="F35" s="108"/>
      <c r="G35" s="111"/>
      <c r="H35" s="111"/>
      <c r="I35" s="108"/>
      <c r="J35" s="108"/>
      <c r="K35" s="108"/>
      <c r="L35" s="108"/>
    </row>
    <row r="36" spans="2:12">
      <c r="B36" s="22">
        <v>7202</v>
      </c>
      <c r="C36" s="39" t="s">
        <v>585</v>
      </c>
      <c r="D36" s="23" t="s">
        <v>303</v>
      </c>
      <c r="E36" s="108"/>
      <c r="F36" s="108"/>
      <c r="G36" s="108"/>
      <c r="H36" s="111"/>
      <c r="I36" s="108"/>
      <c r="J36" s="108"/>
      <c r="K36" s="108"/>
      <c r="L36" s="108"/>
    </row>
    <row r="37" spans="2:12">
      <c r="B37" s="22">
        <v>7207</v>
      </c>
      <c r="C37" s="39" t="s">
        <v>610</v>
      </c>
      <c r="D37" s="23" t="s">
        <v>303</v>
      </c>
      <c r="E37" s="108"/>
      <c r="F37" s="108"/>
      <c r="G37" s="111"/>
      <c r="H37" s="111"/>
      <c r="I37" s="108"/>
      <c r="J37" s="108"/>
      <c r="K37" s="108"/>
      <c r="L37" s="108"/>
    </row>
    <row r="38" spans="2:12">
      <c r="B38" s="22" t="s">
        <v>611</v>
      </c>
      <c r="C38" s="39" t="s">
        <v>612</v>
      </c>
      <c r="D38" s="23" t="s">
        <v>303</v>
      </c>
      <c r="E38" s="108"/>
      <c r="F38" s="108"/>
      <c r="G38" s="108"/>
      <c r="H38" s="108"/>
      <c r="I38" s="108"/>
      <c r="J38" s="108"/>
      <c r="K38" s="108"/>
      <c r="L38" s="108"/>
    </row>
    <row r="39" spans="2:12">
      <c r="B39" s="22">
        <v>7403</v>
      </c>
      <c r="C39" s="39" t="s">
        <v>555</v>
      </c>
      <c r="D39" s="23" t="s">
        <v>303</v>
      </c>
      <c r="E39" s="108"/>
      <c r="F39" s="108"/>
      <c r="G39" s="108"/>
      <c r="H39" s="108"/>
      <c r="I39" s="108"/>
      <c r="J39" s="108"/>
      <c r="K39" s="108"/>
      <c r="L39" s="108"/>
    </row>
    <row r="40" spans="2:12">
      <c r="B40" s="22">
        <v>7502</v>
      </c>
      <c r="C40" s="39" t="s">
        <v>559</v>
      </c>
      <c r="D40" s="23" t="s">
        <v>303</v>
      </c>
      <c r="E40" s="108"/>
      <c r="F40" s="108"/>
      <c r="G40" s="111"/>
      <c r="H40" s="111"/>
      <c r="I40" s="108"/>
      <c r="J40" s="108"/>
      <c r="K40" s="108"/>
      <c r="L40" s="108"/>
    </row>
    <row r="41" spans="2:12">
      <c r="B41" s="22">
        <v>7601</v>
      </c>
      <c r="C41" s="39" t="s">
        <v>560</v>
      </c>
      <c r="D41" s="23" t="s">
        <v>303</v>
      </c>
      <c r="E41" s="108"/>
      <c r="F41" s="108"/>
      <c r="G41" s="111"/>
      <c r="H41" s="111"/>
      <c r="I41" s="108"/>
      <c r="J41" s="108"/>
      <c r="K41" s="108"/>
      <c r="L41" s="108"/>
    </row>
    <row r="42" spans="2:12">
      <c r="B42" s="22" t="s">
        <v>561</v>
      </c>
      <c r="C42" s="39" t="s">
        <v>562</v>
      </c>
      <c r="D42" s="21" t="s">
        <v>563</v>
      </c>
      <c r="E42" s="114"/>
      <c r="F42" s="108"/>
      <c r="G42" s="113"/>
      <c r="H42" s="108"/>
      <c r="I42" s="114"/>
      <c r="J42" s="108"/>
      <c r="K42" s="108"/>
      <c r="L42" s="108"/>
    </row>
    <row r="43" spans="2:12">
      <c r="B43" s="22">
        <v>8703</v>
      </c>
      <c r="C43" s="39" t="s">
        <v>564</v>
      </c>
      <c r="D43" s="23" t="s">
        <v>565</v>
      </c>
      <c r="E43" s="108"/>
      <c r="F43" s="108"/>
      <c r="G43" s="111"/>
      <c r="H43" s="111"/>
      <c r="I43" s="111"/>
      <c r="J43" s="111"/>
      <c r="K43" s="111"/>
      <c r="L43" s="111"/>
    </row>
    <row r="44" spans="2:12">
      <c r="B44" s="22">
        <v>8704</v>
      </c>
      <c r="C44" s="39" t="s">
        <v>284</v>
      </c>
      <c r="D44" s="23" t="s">
        <v>565</v>
      </c>
      <c r="E44" s="108"/>
      <c r="F44" s="108"/>
      <c r="G44" s="111"/>
      <c r="H44" s="111"/>
      <c r="I44" s="111"/>
      <c r="J44" s="111"/>
      <c r="K44" s="111"/>
      <c r="L44" s="111"/>
    </row>
    <row r="45" spans="2:12">
      <c r="B45" s="22"/>
      <c r="C45" s="41" t="s">
        <v>566</v>
      </c>
      <c r="D45" s="23"/>
      <c r="E45" s="108"/>
      <c r="F45" s="108"/>
      <c r="G45" s="111"/>
      <c r="H45" s="111"/>
      <c r="I45" s="111"/>
      <c r="J45" s="111"/>
      <c r="K45" s="111"/>
      <c r="L45" s="111"/>
    </row>
    <row r="46" spans="2:12">
      <c r="B46" s="22" t="s">
        <v>567</v>
      </c>
      <c r="C46" s="39" t="s">
        <v>569</v>
      </c>
      <c r="D46" s="23" t="s">
        <v>303</v>
      </c>
      <c r="E46" s="108"/>
      <c r="F46" s="108"/>
      <c r="G46" s="111"/>
      <c r="H46" s="111"/>
      <c r="I46" s="111"/>
      <c r="J46" s="111"/>
      <c r="K46" s="111"/>
      <c r="L46" s="111"/>
    </row>
    <row r="47" spans="2:12">
      <c r="B47" s="24" t="s">
        <v>613</v>
      </c>
      <c r="C47" s="39" t="s">
        <v>614</v>
      </c>
      <c r="D47" s="23" t="s">
        <v>303</v>
      </c>
      <c r="E47" s="108"/>
      <c r="F47" s="108"/>
      <c r="G47" s="111"/>
      <c r="H47" s="111"/>
      <c r="I47" s="111"/>
      <c r="J47" s="111"/>
      <c r="K47" s="111"/>
      <c r="L47" s="111"/>
    </row>
    <row r="48" spans="2:12">
      <c r="B48" s="24" t="s">
        <v>615</v>
      </c>
      <c r="C48" s="39" t="s">
        <v>616</v>
      </c>
      <c r="D48" s="23" t="s">
        <v>303</v>
      </c>
      <c r="E48" s="108"/>
      <c r="F48" s="108"/>
      <c r="G48" s="111"/>
      <c r="H48" s="111"/>
      <c r="I48" s="111"/>
      <c r="J48" s="111"/>
      <c r="K48" s="111"/>
      <c r="L48" s="111"/>
    </row>
    <row r="49" spans="2:12">
      <c r="B49" s="24" t="s">
        <v>570</v>
      </c>
      <c r="C49" s="39" t="s">
        <v>571</v>
      </c>
      <c r="D49" s="23" t="s">
        <v>303</v>
      </c>
      <c r="E49" s="108"/>
      <c r="F49" s="108"/>
      <c r="G49" s="111"/>
      <c r="H49" s="111"/>
      <c r="I49" s="111"/>
      <c r="J49" s="111"/>
      <c r="K49" s="111"/>
      <c r="L49" s="111"/>
    </row>
    <row r="50" spans="2:12">
      <c r="B50" s="24" t="s">
        <v>572</v>
      </c>
      <c r="C50" s="39" t="s">
        <v>573</v>
      </c>
      <c r="D50" s="23" t="s">
        <v>303</v>
      </c>
      <c r="E50" s="108"/>
      <c r="F50" s="108"/>
      <c r="G50" s="111"/>
      <c r="H50" s="111"/>
      <c r="I50" s="111"/>
      <c r="J50" s="111"/>
      <c r="K50" s="111"/>
      <c r="L50" s="111"/>
    </row>
    <row r="51" spans="2:12">
      <c r="B51" s="24" t="s">
        <v>617</v>
      </c>
      <c r="C51" s="39" t="s">
        <v>618</v>
      </c>
      <c r="D51" s="23" t="s">
        <v>303</v>
      </c>
      <c r="E51" s="108"/>
      <c r="F51" s="108"/>
      <c r="G51" s="111"/>
      <c r="H51" s="111"/>
      <c r="I51" s="111"/>
      <c r="J51" s="111"/>
      <c r="K51" s="111"/>
      <c r="L51" s="111"/>
    </row>
    <row r="52" spans="2:12">
      <c r="B52" s="24" t="s">
        <v>619</v>
      </c>
      <c r="C52" s="39" t="s">
        <v>620</v>
      </c>
      <c r="D52" s="23" t="s">
        <v>303</v>
      </c>
      <c r="E52" s="108"/>
      <c r="F52" s="108"/>
      <c r="G52" s="111"/>
      <c r="H52" s="111"/>
      <c r="I52" s="111"/>
      <c r="J52" s="111"/>
      <c r="K52" s="111"/>
      <c r="L52" s="111"/>
    </row>
    <row r="53" spans="2:12">
      <c r="B53" s="24" t="s">
        <v>621</v>
      </c>
      <c r="C53" s="39" t="s">
        <v>622</v>
      </c>
      <c r="D53" s="23" t="s">
        <v>303</v>
      </c>
      <c r="E53" s="108"/>
      <c r="F53" s="108"/>
      <c r="G53" s="111"/>
      <c r="H53" s="111"/>
      <c r="I53" s="111"/>
      <c r="J53" s="111"/>
      <c r="K53" s="111"/>
      <c r="L53" s="111"/>
    </row>
    <row r="54" spans="2:12">
      <c r="B54" s="22">
        <v>10</v>
      </c>
      <c r="C54" s="39" t="s">
        <v>574</v>
      </c>
      <c r="D54" s="21" t="s">
        <v>563</v>
      </c>
      <c r="E54" s="114"/>
      <c r="F54" s="108"/>
      <c r="G54" s="113"/>
      <c r="H54" s="111"/>
      <c r="I54" s="113"/>
      <c r="J54" s="111"/>
      <c r="K54" s="111"/>
      <c r="L54" s="111"/>
    </row>
    <row r="55" spans="2:12">
      <c r="B55" s="22">
        <v>1001</v>
      </c>
      <c r="C55" s="39" t="s">
        <v>588</v>
      </c>
      <c r="D55" s="23" t="s">
        <v>303</v>
      </c>
      <c r="E55" s="108"/>
      <c r="F55" s="108"/>
      <c r="G55" s="111"/>
      <c r="H55" s="111"/>
      <c r="I55" s="111"/>
      <c r="J55" s="111"/>
      <c r="K55" s="111"/>
      <c r="L55" s="111"/>
    </row>
    <row r="56" spans="2:12">
      <c r="B56" s="22">
        <v>1003</v>
      </c>
      <c r="C56" s="39" t="s">
        <v>623</v>
      </c>
      <c r="D56" s="23" t="s">
        <v>303</v>
      </c>
      <c r="E56" s="108"/>
      <c r="F56" s="108"/>
      <c r="G56" s="111"/>
      <c r="H56" s="111"/>
      <c r="I56" s="111"/>
      <c r="J56" s="111"/>
      <c r="K56" s="111"/>
      <c r="L56" s="111"/>
    </row>
    <row r="57" spans="2:12">
      <c r="B57" s="22">
        <v>1005</v>
      </c>
      <c r="C57" s="39" t="s">
        <v>624</v>
      </c>
      <c r="D57" s="23" t="s">
        <v>303</v>
      </c>
      <c r="E57" s="108"/>
      <c r="F57" s="108"/>
      <c r="G57" s="111"/>
      <c r="H57" s="111"/>
      <c r="I57" s="111"/>
      <c r="J57" s="111"/>
      <c r="K57" s="111"/>
      <c r="L57" s="111"/>
    </row>
    <row r="58" spans="2:12">
      <c r="B58" s="22">
        <v>1512</v>
      </c>
      <c r="C58" s="39" t="s">
        <v>575</v>
      </c>
      <c r="D58" s="23" t="s">
        <v>303</v>
      </c>
      <c r="E58" s="108"/>
      <c r="F58" s="108"/>
      <c r="G58" s="111"/>
      <c r="H58" s="111"/>
      <c r="I58" s="111"/>
      <c r="J58" s="111"/>
      <c r="K58" s="111"/>
      <c r="L58" s="111"/>
    </row>
    <row r="59" spans="2:12">
      <c r="B59" s="22">
        <v>1602</v>
      </c>
      <c r="C59" s="39" t="s">
        <v>625</v>
      </c>
      <c r="D59" s="23" t="s">
        <v>303</v>
      </c>
      <c r="E59" s="108"/>
      <c r="F59" s="108"/>
      <c r="G59" s="111"/>
      <c r="H59" s="111"/>
      <c r="I59" s="111"/>
      <c r="J59" s="111"/>
      <c r="K59" s="111"/>
      <c r="L59" s="111"/>
    </row>
    <row r="60" spans="2:12">
      <c r="B60" s="22" t="s">
        <v>576</v>
      </c>
      <c r="C60" s="39" t="s">
        <v>577</v>
      </c>
      <c r="D60" s="23" t="s">
        <v>303</v>
      </c>
      <c r="E60" s="108"/>
      <c r="F60" s="108"/>
      <c r="G60" s="111"/>
      <c r="H60" s="111"/>
      <c r="I60" s="111"/>
      <c r="J60" s="111"/>
      <c r="K60" s="111"/>
      <c r="L60" s="111"/>
    </row>
    <row r="61" spans="2:12">
      <c r="B61" s="22">
        <v>170199100</v>
      </c>
      <c r="C61" s="39" t="s">
        <v>578</v>
      </c>
      <c r="D61" s="23" t="s">
        <v>303</v>
      </c>
      <c r="E61" s="108"/>
      <c r="F61" s="108"/>
      <c r="G61" s="111"/>
      <c r="H61" s="111"/>
      <c r="I61" s="111"/>
      <c r="J61" s="111"/>
      <c r="K61" s="111"/>
      <c r="L61" s="111"/>
    </row>
    <row r="62" spans="2:12">
      <c r="B62" s="22">
        <v>1801</v>
      </c>
      <c r="C62" s="39" t="s">
        <v>626</v>
      </c>
      <c r="D62" s="23" t="s">
        <v>303</v>
      </c>
      <c r="E62" s="108"/>
      <c r="F62" s="108"/>
      <c r="G62" s="111"/>
      <c r="H62" s="111"/>
      <c r="I62" s="108"/>
      <c r="J62" s="108"/>
      <c r="K62" s="108"/>
      <c r="L62" s="108"/>
    </row>
    <row r="63" spans="2:12">
      <c r="B63" s="22">
        <v>1806</v>
      </c>
      <c r="C63" s="39" t="s">
        <v>627</v>
      </c>
      <c r="D63" s="21" t="s">
        <v>563</v>
      </c>
      <c r="E63" s="114"/>
      <c r="F63" s="108"/>
      <c r="G63" s="113"/>
      <c r="H63" s="111"/>
      <c r="I63" s="114"/>
      <c r="J63" s="108"/>
      <c r="K63" s="108"/>
      <c r="L63" s="108"/>
    </row>
    <row r="64" spans="2:12">
      <c r="B64" s="22">
        <v>22</v>
      </c>
      <c r="C64" s="39" t="s">
        <v>579</v>
      </c>
      <c r="D64" s="21" t="s">
        <v>563</v>
      </c>
      <c r="E64" s="114"/>
      <c r="F64" s="108"/>
      <c r="G64" s="113"/>
      <c r="H64" s="111"/>
      <c r="I64" s="114"/>
      <c r="J64" s="108"/>
      <c r="K64" s="108"/>
      <c r="L64" s="108"/>
    </row>
    <row r="65" spans="2:12">
      <c r="B65" s="22">
        <v>2402</v>
      </c>
      <c r="C65" s="39" t="s">
        <v>628</v>
      </c>
      <c r="D65" s="21" t="s">
        <v>563</v>
      </c>
      <c r="E65" s="114"/>
      <c r="F65" s="108"/>
      <c r="G65" s="113"/>
      <c r="H65" s="111"/>
      <c r="I65" s="114"/>
      <c r="J65" s="108"/>
      <c r="K65" s="108"/>
      <c r="L65" s="108"/>
    </row>
    <row r="66" spans="2:12">
      <c r="B66" s="22">
        <v>2606</v>
      </c>
      <c r="C66" s="39" t="s">
        <v>629</v>
      </c>
      <c r="D66" s="23" t="s">
        <v>303</v>
      </c>
      <c r="E66" s="108"/>
      <c r="F66" s="108"/>
      <c r="G66" s="111"/>
      <c r="H66" s="111"/>
      <c r="I66" s="108"/>
      <c r="J66" s="108"/>
      <c r="K66" s="108"/>
      <c r="L66" s="108"/>
    </row>
    <row r="67" spans="2:12">
      <c r="B67" s="22">
        <v>2701</v>
      </c>
      <c r="C67" s="39" t="s">
        <v>540</v>
      </c>
      <c r="D67" s="23" t="s">
        <v>303</v>
      </c>
      <c r="E67" s="108"/>
      <c r="F67" s="108"/>
      <c r="G67" s="111"/>
      <c r="H67" s="111"/>
      <c r="I67" s="108"/>
      <c r="J67" s="108"/>
      <c r="K67" s="108"/>
      <c r="L67" s="108"/>
    </row>
    <row r="68" spans="2:12">
      <c r="B68" s="22">
        <v>2709</v>
      </c>
      <c r="C68" s="39" t="s">
        <v>541</v>
      </c>
      <c r="D68" s="23" t="s">
        <v>303</v>
      </c>
      <c r="E68" s="108"/>
      <c r="F68" s="108"/>
      <c r="G68" s="111"/>
      <c r="H68" s="111"/>
      <c r="I68" s="108"/>
      <c r="J68" s="108"/>
      <c r="K68" s="108"/>
      <c r="L68" s="108"/>
    </row>
    <row r="69" spans="2:12">
      <c r="B69" s="22">
        <v>2710</v>
      </c>
      <c r="C69" s="39" t="s">
        <v>542</v>
      </c>
      <c r="D69" s="23" t="s">
        <v>303</v>
      </c>
      <c r="E69" s="108"/>
      <c r="F69" s="108"/>
      <c r="G69" s="108"/>
      <c r="H69" s="111"/>
      <c r="I69" s="108"/>
      <c r="J69" s="108"/>
      <c r="K69" s="108"/>
      <c r="L69" s="108"/>
    </row>
    <row r="70" spans="2:12">
      <c r="B70" s="22">
        <v>2941</v>
      </c>
      <c r="C70" s="39" t="s">
        <v>630</v>
      </c>
      <c r="D70" s="21" t="s">
        <v>563</v>
      </c>
      <c r="E70" s="114"/>
      <c r="F70" s="108"/>
      <c r="G70" s="114"/>
      <c r="H70" s="111"/>
      <c r="I70" s="114"/>
      <c r="J70" s="108"/>
      <c r="K70" s="108"/>
      <c r="L70" s="108"/>
    </row>
    <row r="71" spans="2:12">
      <c r="B71" s="22" t="s">
        <v>637</v>
      </c>
      <c r="C71" s="39" t="s">
        <v>638</v>
      </c>
      <c r="D71" s="21" t="s">
        <v>563</v>
      </c>
      <c r="E71" s="114"/>
      <c r="F71" s="108"/>
      <c r="G71" s="114"/>
      <c r="H71" s="111"/>
      <c r="I71" s="114"/>
      <c r="J71" s="108"/>
      <c r="K71" s="108"/>
      <c r="L71" s="108"/>
    </row>
    <row r="72" spans="2:12">
      <c r="B72" s="22">
        <v>3808</v>
      </c>
      <c r="C72" s="39" t="s">
        <v>639</v>
      </c>
      <c r="D72" s="23" t="s">
        <v>303</v>
      </c>
      <c r="E72" s="108"/>
      <c r="F72" s="108"/>
      <c r="G72" s="108"/>
      <c r="H72" s="111"/>
      <c r="I72" s="108"/>
      <c r="J72" s="108"/>
      <c r="K72" s="108"/>
      <c r="L72" s="108"/>
    </row>
    <row r="73" spans="2:12">
      <c r="B73" s="22" t="s">
        <v>580</v>
      </c>
      <c r="C73" s="39" t="s">
        <v>581</v>
      </c>
      <c r="D73" s="23" t="s">
        <v>303</v>
      </c>
      <c r="E73" s="108"/>
      <c r="F73" s="108"/>
      <c r="G73" s="108"/>
      <c r="H73" s="111"/>
      <c r="I73" s="108"/>
      <c r="J73" s="108"/>
      <c r="K73" s="108"/>
      <c r="L73" s="108"/>
    </row>
    <row r="74" spans="2:12">
      <c r="B74" s="22">
        <v>5201</v>
      </c>
      <c r="C74" s="39" t="s">
        <v>583</v>
      </c>
      <c r="D74" s="23" t="s">
        <v>303</v>
      </c>
      <c r="E74" s="108"/>
      <c r="F74" s="108"/>
      <c r="G74" s="108"/>
      <c r="H74" s="111"/>
      <c r="I74" s="108"/>
      <c r="J74" s="108"/>
      <c r="K74" s="108"/>
      <c r="L74" s="108"/>
    </row>
    <row r="75" spans="2:12">
      <c r="B75" s="22" t="s">
        <v>606</v>
      </c>
      <c r="C75" s="39" t="s">
        <v>308</v>
      </c>
      <c r="D75" s="23" t="s">
        <v>303</v>
      </c>
      <c r="E75" s="108"/>
      <c r="F75" s="108"/>
      <c r="G75" s="108"/>
      <c r="H75" s="111"/>
      <c r="I75" s="108"/>
      <c r="J75" s="108"/>
      <c r="K75" s="108"/>
      <c r="L75" s="108"/>
    </row>
    <row r="76" spans="2:12">
      <c r="B76" s="22" t="s">
        <v>640</v>
      </c>
      <c r="C76" s="39" t="s">
        <v>641</v>
      </c>
      <c r="D76" s="21" t="s">
        <v>563</v>
      </c>
      <c r="E76" s="114"/>
      <c r="F76" s="108"/>
      <c r="G76" s="114"/>
      <c r="H76" s="111"/>
      <c r="I76" s="114"/>
      <c r="J76" s="108"/>
      <c r="K76" s="108"/>
      <c r="L76" s="108"/>
    </row>
    <row r="77" spans="2:12">
      <c r="B77" s="22">
        <v>6403</v>
      </c>
      <c r="C77" s="39" t="s">
        <v>642</v>
      </c>
      <c r="D77" s="23" t="s">
        <v>643</v>
      </c>
      <c r="E77" s="108"/>
      <c r="F77" s="108"/>
      <c r="G77" s="108"/>
      <c r="H77" s="111"/>
      <c r="I77" s="108"/>
      <c r="J77" s="108"/>
      <c r="K77" s="108"/>
      <c r="L77" s="108"/>
    </row>
    <row r="78" spans="2:12">
      <c r="B78" s="22">
        <v>72</v>
      </c>
      <c r="C78" s="39" t="s">
        <v>554</v>
      </c>
      <c r="D78" s="23" t="s">
        <v>303</v>
      </c>
      <c r="E78" s="108"/>
      <c r="F78" s="108"/>
      <c r="G78" s="108"/>
      <c r="H78" s="111"/>
      <c r="I78" s="108"/>
      <c r="J78" s="108"/>
      <c r="K78" s="108"/>
      <c r="L78" s="108"/>
    </row>
    <row r="79" spans="2:12" ht="25.5">
      <c r="B79" s="22" t="s">
        <v>608</v>
      </c>
      <c r="C79" s="39" t="s">
        <v>609</v>
      </c>
      <c r="D79" s="23" t="s">
        <v>303</v>
      </c>
      <c r="E79" s="108"/>
      <c r="F79" s="108"/>
      <c r="G79" s="108"/>
      <c r="H79" s="111"/>
      <c r="I79" s="108"/>
      <c r="J79" s="108"/>
      <c r="K79" s="108"/>
      <c r="L79" s="108"/>
    </row>
    <row r="80" spans="2:12">
      <c r="B80" s="22" t="s">
        <v>586</v>
      </c>
      <c r="C80" s="39" t="s">
        <v>294</v>
      </c>
      <c r="D80" s="23" t="s">
        <v>303</v>
      </c>
      <c r="E80" s="108"/>
      <c r="F80" s="108"/>
      <c r="G80" s="111"/>
      <c r="H80" s="108"/>
      <c r="I80" s="108"/>
      <c r="J80" s="108"/>
      <c r="K80" s="108"/>
      <c r="L80" s="108"/>
    </row>
    <row r="81" spans="2:12">
      <c r="B81" s="22" t="s">
        <v>561</v>
      </c>
      <c r="C81" s="39" t="s">
        <v>562</v>
      </c>
      <c r="D81" s="21" t="s">
        <v>563</v>
      </c>
      <c r="E81" s="114"/>
      <c r="F81" s="108"/>
      <c r="G81" s="113"/>
      <c r="H81" s="108"/>
      <c r="I81" s="114"/>
      <c r="J81" s="108"/>
      <c r="K81" s="108"/>
      <c r="L81" s="108"/>
    </row>
    <row r="82" spans="2:12">
      <c r="B82" s="22">
        <v>8703</v>
      </c>
      <c r="C82" s="39" t="s">
        <v>564</v>
      </c>
      <c r="D82" s="23" t="s">
        <v>565</v>
      </c>
      <c r="E82" s="108"/>
      <c r="F82" s="108"/>
      <c r="G82" s="108"/>
      <c r="H82" s="108"/>
      <c r="I82" s="108"/>
      <c r="J82" s="108"/>
      <c r="K82" s="108"/>
      <c r="L82" s="108"/>
    </row>
    <row r="83" spans="2:12">
      <c r="B83" s="22">
        <v>8704</v>
      </c>
      <c r="C83" s="39" t="s">
        <v>284</v>
      </c>
      <c r="D83" s="23" t="s">
        <v>565</v>
      </c>
      <c r="E83" s="108"/>
      <c r="F83" s="108"/>
      <c r="G83" s="108"/>
      <c r="H83" s="108"/>
      <c r="I83" s="108"/>
      <c r="J83" s="108"/>
      <c r="K83" s="108"/>
      <c r="L83" s="108"/>
    </row>
    <row r="84" spans="2:12">
      <c r="B84" s="22" t="s">
        <v>644</v>
      </c>
      <c r="C84" s="39" t="s">
        <v>645</v>
      </c>
      <c r="D84" s="21" t="s">
        <v>563</v>
      </c>
      <c r="E84" s="111"/>
      <c r="F84" s="108"/>
      <c r="G84" s="111"/>
      <c r="H84" s="108"/>
      <c r="I84" s="108"/>
      <c r="J84" s="108"/>
      <c r="K84" s="108"/>
      <c r="L84" s="108"/>
    </row>
    <row r="85" spans="2:12">
      <c r="C85" s="39"/>
      <c r="D85" s="23"/>
    </row>
    <row r="86" spans="2:12">
      <c r="B86" t="s">
        <v>199</v>
      </c>
      <c r="C86" s="39"/>
      <c r="D86" s="23"/>
    </row>
    <row r="87" spans="2:12">
      <c r="C87" s="39"/>
    </row>
    <row r="88" spans="2:12">
      <c r="C88" s="39"/>
    </row>
    <row r="89" spans="2:12">
      <c r="C89" s="39"/>
    </row>
    <row r="90" spans="2:12">
      <c r="C90" s="39"/>
    </row>
    <row r="91" spans="2:12">
      <c r="C91" s="39"/>
    </row>
    <row r="92" spans="2:12">
      <c r="C92" s="39"/>
    </row>
    <row r="93" spans="2:12">
      <c r="C93" s="39"/>
    </row>
    <row r="94" spans="2:12">
      <c r="C94" s="39"/>
    </row>
    <row r="95" spans="2:12">
      <c r="C95" s="39"/>
    </row>
    <row r="96" spans="2:12">
      <c r="C96" s="39"/>
    </row>
    <row r="97" spans="3:3">
      <c r="C97" s="39"/>
    </row>
    <row r="98" spans="3:3">
      <c r="C98" s="39"/>
    </row>
    <row r="99" spans="3:3">
      <c r="C99" s="39"/>
    </row>
    <row r="100" spans="3:3">
      <c r="C100" s="39"/>
    </row>
    <row r="101" spans="3:3">
      <c r="C101" s="39"/>
    </row>
    <row r="102" spans="3:3">
      <c r="C102" s="39"/>
    </row>
    <row r="103" spans="3:3">
      <c r="C103" s="39"/>
    </row>
    <row r="104" spans="3:3">
      <c r="C104" s="39"/>
    </row>
    <row r="105" spans="3:3">
      <c r="C105" s="39"/>
    </row>
    <row r="106" spans="3:3">
      <c r="C106" s="39"/>
    </row>
    <row r="107" spans="3:3">
      <c r="C107" s="39"/>
    </row>
    <row r="108" spans="3:3">
      <c r="C108" s="39"/>
    </row>
    <row r="109" spans="3:3">
      <c r="C109" s="39"/>
    </row>
    <row r="110" spans="3:3">
      <c r="C110" s="39"/>
    </row>
    <row r="111" spans="3:3">
      <c r="C111" s="39"/>
    </row>
    <row r="112" spans="3:3">
      <c r="C112" s="39"/>
    </row>
    <row r="113" spans="3:3">
      <c r="C113" s="39"/>
    </row>
    <row r="114" spans="3:3">
      <c r="C114" s="39"/>
    </row>
    <row r="115" spans="3:3">
      <c r="C115" s="39"/>
    </row>
    <row r="116" spans="3:3">
      <c r="C116" s="39"/>
    </row>
    <row r="117" spans="3:3">
      <c r="C117" s="39"/>
    </row>
    <row r="118" spans="3:3">
      <c r="C118" s="39"/>
    </row>
    <row r="119" spans="3:3">
      <c r="C119" s="39"/>
    </row>
    <row r="120" spans="3:3">
      <c r="C120" s="39"/>
    </row>
    <row r="121" spans="3:3">
      <c r="C121" s="39"/>
    </row>
    <row r="122" spans="3:3">
      <c r="C122" s="39"/>
    </row>
    <row r="123" spans="3:3">
      <c r="C123" s="39"/>
    </row>
    <row r="124" spans="3:3">
      <c r="C124" s="39"/>
    </row>
    <row r="125" spans="3:3">
      <c r="C125" s="39"/>
    </row>
    <row r="126" spans="3:3">
      <c r="C126" s="39"/>
    </row>
    <row r="127" spans="3:3">
      <c r="C127" s="39"/>
    </row>
    <row r="128" spans="3:3">
      <c r="C128" s="39"/>
    </row>
    <row r="129" spans="3:3">
      <c r="C129" s="39"/>
    </row>
    <row r="130" spans="3:3">
      <c r="C130" s="39"/>
    </row>
    <row r="131" spans="3:3">
      <c r="C131" s="39"/>
    </row>
    <row r="132" spans="3:3">
      <c r="C132" s="39"/>
    </row>
    <row r="133" spans="3:3">
      <c r="C133" s="39"/>
    </row>
    <row r="134" spans="3:3">
      <c r="C134" s="39"/>
    </row>
    <row r="135" spans="3:3">
      <c r="C135" s="39"/>
    </row>
    <row r="136" spans="3:3">
      <c r="C136" s="39"/>
    </row>
    <row r="137" spans="3:3">
      <c r="C137" s="39"/>
    </row>
    <row r="138" spans="3:3">
      <c r="C138" s="39"/>
    </row>
    <row r="139" spans="3:3">
      <c r="C139" s="39"/>
    </row>
    <row r="140" spans="3:3">
      <c r="C140" s="39"/>
    </row>
    <row r="141" spans="3:3">
      <c r="C141" s="39"/>
    </row>
    <row r="142" spans="3:3">
      <c r="C142" s="39"/>
    </row>
    <row r="143" spans="3:3">
      <c r="C143" s="39"/>
    </row>
    <row r="144" spans="3:3">
      <c r="C144" s="39"/>
    </row>
    <row r="145" spans="3:3">
      <c r="C145" s="39"/>
    </row>
    <row r="146" spans="3:3">
      <c r="C146" s="39"/>
    </row>
    <row r="147" spans="3:3">
      <c r="C147" s="39"/>
    </row>
    <row r="148" spans="3:3">
      <c r="C148" s="39"/>
    </row>
    <row r="149" spans="3:3">
      <c r="C149" s="39"/>
    </row>
    <row r="150" spans="3:3">
      <c r="C150" s="39"/>
    </row>
    <row r="151" spans="3:3">
      <c r="C151" s="39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</sheetData>
  <sheetProtection password="E16C" sheet="1" objects="1" scenarios="1"/>
  <customSheetViews>
    <customSheetView guid="{77D4B8AA-2D12-454E-8920-2F102814BFC0}" scale="75" showRuler="0">
      <pane xSplit="1" ySplit="6" topLeftCell="B7" activePane="bottomRight" state="frozen"/>
      <selection pane="bottomRight" activeCell="E13" sqref="E13"/>
      <pageMargins left="0.75" right="0.75" top="1" bottom="1" header="0.5" footer="0.5"/>
      <headerFooter alignWithMargins="0"/>
    </customSheetView>
    <customSheetView guid="{0F955BED-3AA5-4ED9-8747-25E63CDA70F7}" scale="75" showRuler="0">
      <pane xSplit="1" ySplit="6" topLeftCell="B7" activePane="bottomRight" state="frozen"/>
      <selection pane="bottomRight" activeCell="A3" sqref="A3"/>
      <pageMargins left="0.75" right="0.75" top="1" bottom="1" header="0.5" footer="0.5"/>
      <headerFooter alignWithMargins="0"/>
    </customSheetView>
    <customSheetView guid="{F999748C-9832-11D8-83FB-00E04C392051}" scale="75" showRuler="0">
      <pane xSplit="1" ySplit="6" topLeftCell="B7" activePane="bottomRight" state="frozen"/>
      <selection pane="bottomRight" activeCell="A3" sqref="A3"/>
      <pageMargins left="0.75" right="0.75" top="1" bottom="1" header="0.5" footer="0.5"/>
      <headerFooter alignWithMargins="0"/>
    </customSheetView>
    <customSheetView guid="{1CCF9464-AEC0-4C0F-98A5-E7B17D04C7EE}" scale="75" showRuler="0">
      <pane xSplit="1" ySplit="6" topLeftCell="B7" activePane="bottomRight" state="frozen"/>
      <selection pane="bottomRight" activeCell="A3" sqref="A3"/>
      <pageMargins left="0.75" right="0.75" top="1" bottom="1" header="0.5" footer="0.5"/>
      <headerFooter alignWithMargins="0"/>
    </customSheetView>
    <customSheetView guid="{4D3410BB-2371-487E-AAF7-AC8AFE6E56CA}" scale="75" showRuler="0">
      <pane xSplit="1" ySplit="6" topLeftCell="B7" activePane="bottomRight" state="frozen"/>
      <selection pane="bottomRight" activeCell="B1" sqref="B1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"/>
  <dimension ref="A1:U634"/>
  <sheetViews>
    <sheetView workbookViewId="0">
      <pane xSplit="11" ySplit="11" topLeftCell="L12" activePane="bottomRight" state="frozen"/>
      <selection pane="topRight" activeCell="L1" sqref="L1"/>
      <selection pane="bottomLeft" activeCell="A12" sqref="A12"/>
      <selection pane="bottomRight" activeCell="L12" sqref="L12"/>
    </sheetView>
  </sheetViews>
  <sheetFormatPr defaultColWidth="8.85546875" defaultRowHeight="12"/>
  <cols>
    <col min="1" max="1" width="40.5703125" style="2" customWidth="1"/>
    <col min="2" max="2" width="24.42578125" style="2" customWidth="1"/>
    <col min="3" max="3" width="9.42578125" style="4" hidden="1" customWidth="1"/>
    <col min="4" max="4" width="5.140625" style="5" hidden="1" customWidth="1"/>
    <col min="5" max="5" width="6.28515625" style="6" hidden="1" customWidth="1"/>
    <col min="6" max="6" width="8.42578125" style="4" hidden="1" customWidth="1"/>
    <col min="7" max="7" width="4.7109375" style="1" hidden="1" customWidth="1"/>
    <col min="8" max="8" width="10.140625" style="2" hidden="1" customWidth="1"/>
    <col min="9" max="9" width="9.5703125" style="2" hidden="1" customWidth="1"/>
    <col min="10" max="10" width="9.28515625" style="2" hidden="1" customWidth="1"/>
    <col min="11" max="11" width="10.28515625" style="2" hidden="1" customWidth="1"/>
    <col min="12" max="14" width="10.28515625" style="2" customWidth="1"/>
    <col min="15" max="15" width="9.7109375" style="2" customWidth="1"/>
    <col min="16" max="16" width="9.28515625" style="2" customWidth="1"/>
    <col min="17" max="17" width="9.7109375" style="2" customWidth="1"/>
    <col min="18" max="18" width="9.28515625" style="2" customWidth="1"/>
    <col min="19" max="19" width="10" style="2" customWidth="1"/>
    <col min="20" max="20" width="9.28515625" style="2" customWidth="1"/>
    <col min="21" max="21" width="5.7109375" style="3" customWidth="1"/>
    <col min="22" max="16384" width="8.85546875" style="2"/>
  </cols>
  <sheetData>
    <row r="1" spans="1:21" s="57" customFormat="1" ht="20.100000000000001" customHeight="1">
      <c r="A1" s="189" t="s">
        <v>258</v>
      </c>
      <c r="B1" s="190"/>
      <c r="C1" s="190"/>
      <c r="D1" s="190"/>
      <c r="E1" s="190"/>
      <c r="F1" s="190"/>
      <c r="G1" s="190"/>
      <c r="H1" s="190"/>
      <c r="I1" s="190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56"/>
    </row>
    <row r="2" spans="1:21" ht="24" customHeight="1">
      <c r="A2" s="192" t="s">
        <v>169</v>
      </c>
      <c r="B2" s="193"/>
      <c r="C2" s="193"/>
      <c r="D2" s="193"/>
      <c r="E2" s="193"/>
      <c r="F2" s="193"/>
      <c r="G2" s="193"/>
      <c r="H2" s="193"/>
      <c r="I2" s="193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58"/>
    </row>
    <row r="3" spans="1:21" ht="18.600000000000001" customHeight="1">
      <c r="A3" s="195"/>
      <c r="B3" s="196">
        <v>1</v>
      </c>
      <c r="C3" s="197">
        <v>2</v>
      </c>
      <c r="D3" s="198"/>
      <c r="E3" s="199"/>
      <c r="F3" s="200"/>
      <c r="G3" s="201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1" ht="12" customHeight="1">
      <c r="A4" s="195"/>
      <c r="B4" s="195"/>
      <c r="C4" s="200"/>
      <c r="D4" s="198"/>
      <c r="E4" s="199"/>
      <c r="F4" s="200"/>
      <c r="G4" s="201"/>
      <c r="H4" s="195"/>
      <c r="I4" s="195"/>
      <c r="J4" s="195"/>
      <c r="K4" s="195"/>
      <c r="L4" s="202"/>
      <c r="M4" s="195"/>
      <c r="N4" s="195"/>
      <c r="O4" s="203"/>
      <c r="P4" s="203"/>
      <c r="Q4" s="203"/>
      <c r="R4" s="203"/>
      <c r="S4" s="203"/>
      <c r="T4" s="195"/>
    </row>
    <row r="5" spans="1:21" ht="15" customHeight="1">
      <c r="A5" s="204" t="s">
        <v>259</v>
      </c>
      <c r="B5" s="205" t="s">
        <v>435</v>
      </c>
      <c r="C5" s="200"/>
      <c r="D5" s="198"/>
      <c r="E5" s="199"/>
      <c r="F5" s="200"/>
      <c r="G5" s="201"/>
      <c r="H5" s="195"/>
      <c r="I5" s="195"/>
      <c r="J5" s="195"/>
      <c r="K5" s="195"/>
      <c r="L5" s="202"/>
      <c r="M5" s="195"/>
      <c r="N5" s="195"/>
      <c r="O5" s="206"/>
      <c r="P5" s="206"/>
      <c r="Q5" s="206"/>
      <c r="R5" s="206"/>
      <c r="S5" s="206"/>
      <c r="T5" s="206"/>
    </row>
    <row r="6" spans="1:21" ht="25.9" customHeight="1">
      <c r="A6" s="204" t="s">
        <v>261</v>
      </c>
      <c r="B6" s="195"/>
      <c r="C6" s="200"/>
      <c r="D6" s="198"/>
      <c r="E6" s="199"/>
      <c r="F6" s="200"/>
      <c r="G6" s="201"/>
      <c r="H6" s="195"/>
      <c r="I6" s="195"/>
      <c r="J6" s="195"/>
      <c r="K6" s="207"/>
      <c r="L6" s="202"/>
      <c r="M6" s="195"/>
      <c r="N6" s="208"/>
      <c r="O6" s="209"/>
      <c r="P6" s="210"/>
      <c r="Q6" s="210"/>
      <c r="R6" s="210"/>
      <c r="S6" s="210"/>
      <c r="T6" s="206"/>
    </row>
    <row r="7" spans="1:21" ht="15.75" customHeight="1">
      <c r="K7" s="3"/>
      <c r="L7" s="42"/>
      <c r="O7" s="60"/>
      <c r="P7" s="61"/>
      <c r="Q7" s="62"/>
      <c r="R7" s="61"/>
      <c r="S7" s="61"/>
      <c r="T7" s="59"/>
    </row>
    <row r="8" spans="1:21" ht="30" hidden="1" customHeight="1">
      <c r="K8" s="3"/>
      <c r="L8" s="42"/>
    </row>
    <row r="9" spans="1:21" ht="21.75" customHeight="1">
      <c r="A9" s="530" t="s">
        <v>262</v>
      </c>
      <c r="B9" s="530" t="s">
        <v>263</v>
      </c>
      <c r="C9" s="116" t="s">
        <v>264</v>
      </c>
      <c r="D9" s="117" t="s">
        <v>265</v>
      </c>
      <c r="E9" s="118" t="s">
        <v>266</v>
      </c>
      <c r="F9" s="117" t="s">
        <v>267</v>
      </c>
      <c r="G9" s="119" t="s">
        <v>268</v>
      </c>
      <c r="H9" s="120" t="s">
        <v>269</v>
      </c>
      <c r="I9" s="120"/>
      <c r="J9" s="120"/>
      <c r="K9" s="120"/>
      <c r="L9" s="120" t="s">
        <v>269</v>
      </c>
      <c r="M9" s="120" t="s">
        <v>269</v>
      </c>
      <c r="N9" s="120" t="s">
        <v>270</v>
      </c>
      <c r="O9" s="120" t="s">
        <v>271</v>
      </c>
      <c r="P9" s="120"/>
      <c r="Q9" s="120"/>
      <c r="R9" s="120"/>
      <c r="S9" s="120"/>
      <c r="T9" s="120"/>
      <c r="U9" s="63"/>
    </row>
    <row r="10" spans="1:21" ht="10.9" customHeight="1">
      <c r="A10" s="531"/>
      <c r="B10" s="531"/>
      <c r="C10" s="121"/>
      <c r="D10" s="122"/>
      <c r="E10" s="123"/>
      <c r="F10" s="121"/>
      <c r="G10" s="124"/>
      <c r="H10" s="121">
        <v>1998</v>
      </c>
      <c r="I10" s="121">
        <v>1999</v>
      </c>
      <c r="J10" s="121">
        <v>2000</v>
      </c>
      <c r="K10" s="121">
        <v>2001</v>
      </c>
      <c r="L10" s="530">
        <v>2004</v>
      </c>
      <c r="M10" s="530">
        <v>2005</v>
      </c>
      <c r="N10" s="530">
        <v>2006</v>
      </c>
      <c r="O10" s="125">
        <v>2007</v>
      </c>
      <c r="P10" s="121"/>
      <c r="Q10" s="125">
        <v>2008</v>
      </c>
      <c r="R10" s="121"/>
      <c r="S10" s="125">
        <v>2009</v>
      </c>
      <c r="T10" s="125"/>
      <c r="U10" s="63"/>
    </row>
    <row r="11" spans="1:21" ht="14.45" customHeight="1">
      <c r="A11" s="532"/>
      <c r="B11" s="532"/>
      <c r="C11" s="121"/>
      <c r="D11" s="122"/>
      <c r="E11" s="123"/>
      <c r="F11" s="121"/>
      <c r="G11" s="124"/>
      <c r="H11" s="121"/>
      <c r="I11" s="121"/>
      <c r="J11" s="126"/>
      <c r="K11" s="126"/>
      <c r="L11" s="532"/>
      <c r="M11" s="532"/>
      <c r="N11" s="532"/>
      <c r="O11" s="127" t="s">
        <v>272</v>
      </c>
      <c r="P11" s="128" t="s">
        <v>273</v>
      </c>
      <c r="Q11" s="127" t="s">
        <v>272</v>
      </c>
      <c r="R11" s="128" t="s">
        <v>273</v>
      </c>
      <c r="S11" s="127" t="s">
        <v>272</v>
      </c>
      <c r="T11" s="128" t="s">
        <v>273</v>
      </c>
      <c r="U11" s="63"/>
    </row>
    <row r="12" spans="1:21" s="3" customFormat="1" ht="30">
      <c r="A12" s="129" t="s">
        <v>663</v>
      </c>
      <c r="B12" s="130"/>
      <c r="C12" s="131"/>
      <c r="D12" s="115"/>
      <c r="E12" s="115"/>
      <c r="F12" s="115"/>
      <c r="G12" s="115"/>
      <c r="H12"/>
      <c r="I12"/>
      <c r="J12"/>
      <c r="K12"/>
      <c r="L12"/>
      <c r="M12"/>
      <c r="N12"/>
      <c r="O12"/>
      <c r="P12"/>
      <c r="Q12"/>
      <c r="R12"/>
      <c r="S12"/>
      <c r="T12"/>
      <c r="U12" s="63"/>
    </row>
    <row r="13" spans="1:21" s="3" customFormat="1" ht="21">
      <c r="A13" s="132" t="s">
        <v>274</v>
      </c>
      <c r="B13" s="133" t="s">
        <v>593</v>
      </c>
      <c r="C13" s="134"/>
      <c r="D13" s="135"/>
      <c r="E13" s="135"/>
      <c r="F13" s="135"/>
      <c r="G13" s="135"/>
      <c r="H13"/>
      <c r="I13"/>
      <c r="J13"/>
      <c r="K13"/>
      <c r="L13"/>
      <c r="M13"/>
      <c r="N13"/>
      <c r="O13"/>
      <c r="P13"/>
      <c r="Q13"/>
      <c r="R13"/>
      <c r="S13"/>
      <c r="T13"/>
      <c r="U13" s="63"/>
    </row>
    <row r="14" spans="1:21" s="3" customFormat="1" ht="12.75">
      <c r="A14" s="136"/>
      <c r="B14" s="133" t="s">
        <v>664</v>
      </c>
      <c r="C14" s="134"/>
      <c r="D14" s="135"/>
      <c r="E14" s="135"/>
      <c r="F14" s="135"/>
      <c r="G14" s="135"/>
      <c r="H14"/>
      <c r="I14"/>
      <c r="J14"/>
      <c r="K14"/>
      <c r="L14"/>
      <c r="M14"/>
      <c r="N14"/>
      <c r="O14"/>
      <c r="P14"/>
      <c r="Q14"/>
      <c r="R14"/>
      <c r="S14"/>
      <c r="T14"/>
      <c r="U14" s="63"/>
    </row>
    <row r="15" spans="1:21" s="3" customFormat="1" ht="12.75">
      <c r="A15" s="137" t="s">
        <v>665</v>
      </c>
      <c r="B15" s="133" t="s">
        <v>593</v>
      </c>
      <c r="C15" s="134"/>
      <c r="D15" s="135"/>
      <c r="E15" s="135"/>
      <c r="F15" s="135"/>
      <c r="G15" s="135"/>
      <c r="H15"/>
      <c r="I15"/>
      <c r="J15"/>
      <c r="K15"/>
      <c r="L15"/>
      <c r="M15"/>
      <c r="N15"/>
      <c r="O15"/>
      <c r="P15"/>
      <c r="Q15"/>
      <c r="R15"/>
      <c r="S15"/>
      <c r="T15"/>
      <c r="U15" s="63"/>
    </row>
    <row r="16" spans="1:21" s="3" customFormat="1" ht="12.75">
      <c r="A16" s="137"/>
      <c r="B16" s="133" t="s">
        <v>664</v>
      </c>
      <c r="C16" s="134"/>
      <c r="D16" s="135"/>
      <c r="E16" s="135"/>
      <c r="F16" s="135"/>
      <c r="G16" s="135"/>
      <c r="H16"/>
      <c r="I16"/>
      <c r="J16"/>
      <c r="K16"/>
      <c r="L16"/>
      <c r="M16"/>
      <c r="N16"/>
      <c r="O16"/>
      <c r="P16"/>
      <c r="Q16"/>
      <c r="R16"/>
      <c r="S16"/>
      <c r="T16"/>
      <c r="U16" s="63"/>
    </row>
    <row r="17" spans="1:21" ht="12.75">
      <c r="A17" s="137" t="s">
        <v>666</v>
      </c>
      <c r="B17" s="133" t="s">
        <v>593</v>
      </c>
      <c r="C17" s="134"/>
      <c r="D17" s="135"/>
      <c r="E17" s="135"/>
      <c r="F17" s="135"/>
      <c r="G17" s="135"/>
      <c r="H17"/>
      <c r="I17"/>
      <c r="J17"/>
      <c r="K17"/>
      <c r="L17"/>
      <c r="M17"/>
      <c r="N17"/>
      <c r="O17"/>
      <c r="P17"/>
      <c r="Q17"/>
      <c r="R17"/>
      <c r="S17"/>
      <c r="T17"/>
      <c r="U17" s="63"/>
    </row>
    <row r="18" spans="1:21" ht="12.75">
      <c r="A18" s="137"/>
      <c r="B18" s="133" t="s">
        <v>664</v>
      </c>
      <c r="C18" s="134"/>
      <c r="D18" s="135"/>
      <c r="E18" s="135"/>
      <c r="F18" s="135"/>
      <c r="G18" s="135"/>
      <c r="H18"/>
      <c r="I18"/>
      <c r="J18"/>
      <c r="K18"/>
      <c r="L18"/>
      <c r="M18"/>
      <c r="N18"/>
      <c r="O18"/>
      <c r="P18"/>
      <c r="Q18"/>
      <c r="R18"/>
      <c r="S18"/>
      <c r="T18"/>
      <c r="U18" s="63"/>
    </row>
    <row r="19" spans="1:21" s="42" customFormat="1" ht="21">
      <c r="A19" s="138" t="s">
        <v>418</v>
      </c>
      <c r="B19" s="139" t="s">
        <v>419</v>
      </c>
      <c r="C19" s="134"/>
      <c r="D19" s="135"/>
      <c r="E19" s="135"/>
      <c r="F19" s="135"/>
      <c r="G19" s="135"/>
      <c r="H19"/>
      <c r="I19"/>
      <c r="J19"/>
      <c r="K19"/>
      <c r="L19"/>
      <c r="M19"/>
      <c r="N19"/>
      <c r="O19"/>
      <c r="P19"/>
      <c r="Q19"/>
      <c r="R19"/>
      <c r="S19"/>
      <c r="T19"/>
      <c r="U19" s="63"/>
    </row>
    <row r="20" spans="1:21" s="42" customFormat="1" ht="12.75">
      <c r="A20" s="138" t="s">
        <v>667</v>
      </c>
      <c r="B20" s="139" t="s">
        <v>420</v>
      </c>
      <c r="C20" s="134"/>
      <c r="D20" s="533"/>
      <c r="E20" s="533"/>
      <c r="F20" s="533"/>
      <c r="G20" s="135"/>
      <c r="H20"/>
      <c r="I20"/>
      <c r="J20"/>
      <c r="K20"/>
      <c r="L20"/>
      <c r="M20"/>
      <c r="N20"/>
      <c r="O20"/>
      <c r="P20"/>
      <c r="Q20"/>
      <c r="R20"/>
      <c r="S20"/>
      <c r="T20"/>
      <c r="U20" s="63"/>
    </row>
    <row r="21" spans="1:21" s="42" customFormat="1" ht="12.75">
      <c r="A21" s="138" t="s">
        <v>668</v>
      </c>
      <c r="B21" s="139" t="s">
        <v>420</v>
      </c>
      <c r="C21" s="134"/>
      <c r="D21" s="534"/>
      <c r="E21" s="534"/>
      <c r="F21" s="534"/>
      <c r="G21" s="135"/>
      <c r="H21"/>
      <c r="I21"/>
      <c r="J21"/>
      <c r="K21"/>
      <c r="L21"/>
      <c r="M21"/>
      <c r="N21"/>
      <c r="O21"/>
      <c r="P21"/>
      <c r="Q21"/>
      <c r="R21"/>
      <c r="S21"/>
      <c r="T21"/>
      <c r="U21" s="63"/>
    </row>
    <row r="22" spans="1:21" s="42" customFormat="1" ht="12.75">
      <c r="A22" s="138" t="s">
        <v>669</v>
      </c>
      <c r="B22" s="139" t="s">
        <v>420</v>
      </c>
      <c r="C22" s="134"/>
      <c r="D22" s="535"/>
      <c r="E22" s="535"/>
      <c r="F22" s="535"/>
      <c r="G22" s="135"/>
      <c r="H22"/>
      <c r="I22"/>
      <c r="J22"/>
      <c r="K22"/>
      <c r="L22"/>
      <c r="M22"/>
      <c r="N22"/>
      <c r="O22"/>
      <c r="P22"/>
      <c r="Q22"/>
      <c r="R22"/>
      <c r="S22"/>
      <c r="T22"/>
      <c r="U22" s="63"/>
    </row>
    <row r="23" spans="1:21" s="42" customFormat="1" ht="12.75">
      <c r="A23" s="138" t="s">
        <v>670</v>
      </c>
      <c r="B23" s="139" t="s">
        <v>172</v>
      </c>
      <c r="C23" s="134"/>
      <c r="D23" s="135"/>
      <c r="E23" s="135"/>
      <c r="F23" s="135"/>
      <c r="G23" s="135"/>
      <c r="H23"/>
      <c r="I23"/>
      <c r="J23"/>
      <c r="K23"/>
      <c r="L23"/>
      <c r="M23"/>
      <c r="N23"/>
      <c r="O23"/>
      <c r="P23"/>
      <c r="Q23"/>
      <c r="R23"/>
      <c r="S23"/>
      <c r="T23"/>
      <c r="U23" s="63"/>
    </row>
    <row r="24" spans="1:21" s="42" customFormat="1" ht="12.75">
      <c r="A24" s="138"/>
      <c r="B24" s="139"/>
      <c r="C24" s="134"/>
      <c r="D24" s="135"/>
      <c r="E24" s="135"/>
      <c r="F24" s="135"/>
      <c r="G24" s="135"/>
      <c r="H24"/>
      <c r="I24"/>
      <c r="J24"/>
      <c r="K24"/>
      <c r="L24"/>
      <c r="M24"/>
      <c r="N24"/>
      <c r="O24"/>
      <c r="P24"/>
      <c r="Q24"/>
      <c r="R24"/>
      <c r="S24"/>
      <c r="T24"/>
      <c r="U24" s="63"/>
    </row>
    <row r="25" spans="1:21" s="42" customFormat="1" ht="30">
      <c r="A25" s="142" t="s">
        <v>671</v>
      </c>
      <c r="B25" s="133"/>
      <c r="C25" s="134"/>
      <c r="D25" s="135"/>
      <c r="E25" s="135"/>
      <c r="F25" s="135"/>
      <c r="G25" s="135"/>
      <c r="H25"/>
      <c r="I25"/>
      <c r="J25"/>
      <c r="K25"/>
      <c r="L25"/>
      <c r="M25"/>
      <c r="N25"/>
      <c r="O25"/>
      <c r="P25"/>
      <c r="Q25"/>
      <c r="R25"/>
      <c r="S25"/>
      <c r="T25"/>
      <c r="U25" s="63"/>
    </row>
    <row r="26" spans="1:21" ht="14.25">
      <c r="A26" s="143" t="s">
        <v>672</v>
      </c>
      <c r="B26" s="133"/>
      <c r="C26" s="144"/>
      <c r="D26" s="135"/>
      <c r="E26" s="135"/>
      <c r="F26" s="135"/>
      <c r="G26" s="140"/>
      <c r="H26"/>
      <c r="I26"/>
      <c r="J26"/>
      <c r="K26"/>
      <c r="L26"/>
      <c r="M26"/>
      <c r="N26"/>
      <c r="O26"/>
      <c r="P26"/>
      <c r="Q26"/>
      <c r="R26"/>
      <c r="S26"/>
      <c r="T26"/>
      <c r="U26" s="63"/>
    </row>
    <row r="27" spans="1:21" ht="18">
      <c r="A27" s="138" t="s">
        <v>195</v>
      </c>
      <c r="B27" s="139" t="s">
        <v>673</v>
      </c>
      <c r="C27" s="145"/>
      <c r="D27" s="135"/>
      <c r="E27" s="135"/>
      <c r="F27" s="135"/>
      <c r="G27" s="140"/>
      <c r="H27"/>
      <c r="I27"/>
      <c r="J27"/>
      <c r="K27"/>
      <c r="L27"/>
      <c r="M27"/>
      <c r="N27"/>
      <c r="O27"/>
      <c r="P27"/>
      <c r="Q27"/>
      <c r="R27"/>
      <c r="S27"/>
      <c r="T27"/>
      <c r="U27" s="63"/>
    </row>
    <row r="28" spans="1:21" ht="28.5">
      <c r="A28" s="143" t="s">
        <v>674</v>
      </c>
      <c r="B28" s="139"/>
      <c r="C28" s="146"/>
      <c r="D28" s="147"/>
      <c r="E28" s="147"/>
      <c r="F28" s="147"/>
      <c r="G28" s="141"/>
      <c r="H28"/>
      <c r="I28"/>
      <c r="J28"/>
      <c r="K28"/>
      <c r="L28"/>
      <c r="M28"/>
      <c r="N28"/>
      <c r="O28"/>
      <c r="P28"/>
      <c r="Q28"/>
      <c r="R28"/>
      <c r="S28"/>
      <c r="T28"/>
      <c r="U28" s="63"/>
    </row>
    <row r="29" spans="1:21" ht="18">
      <c r="A29" s="132" t="s">
        <v>675</v>
      </c>
      <c r="B29" s="133" t="s">
        <v>676</v>
      </c>
      <c r="C29" s="524"/>
      <c r="D29" s="148"/>
      <c r="E29" s="148"/>
      <c r="F29" s="148"/>
      <c r="G29" s="533"/>
      <c r="H29"/>
      <c r="I29"/>
      <c r="J29"/>
      <c r="K29"/>
      <c r="L29"/>
      <c r="M29"/>
      <c r="N29"/>
      <c r="O29"/>
      <c r="P29"/>
      <c r="Q29"/>
      <c r="R29"/>
      <c r="S29"/>
      <c r="T29"/>
      <c r="U29" s="63"/>
    </row>
    <row r="30" spans="1:21" ht="18">
      <c r="A30" s="136"/>
      <c r="B30" s="133" t="s">
        <v>677</v>
      </c>
      <c r="C30" s="525"/>
      <c r="D30" s="148"/>
      <c r="E30" s="148"/>
      <c r="F30" s="148"/>
      <c r="G30" s="534"/>
      <c r="H30"/>
      <c r="I30"/>
      <c r="J30"/>
      <c r="K30"/>
      <c r="L30"/>
      <c r="M30"/>
      <c r="N30"/>
      <c r="O30"/>
      <c r="P30"/>
      <c r="Q30"/>
      <c r="R30"/>
      <c r="S30"/>
      <c r="T30"/>
      <c r="U30" s="63"/>
    </row>
    <row r="31" spans="1:21" ht="12.75">
      <c r="A31" s="136"/>
      <c r="B31" s="133" t="s">
        <v>678</v>
      </c>
      <c r="C31" s="525"/>
      <c r="D31" s="148"/>
      <c r="E31" s="148"/>
      <c r="F31" s="148"/>
      <c r="G31" s="534"/>
      <c r="H31"/>
      <c r="I31"/>
      <c r="J31"/>
      <c r="K31"/>
      <c r="L31"/>
      <c r="M31"/>
      <c r="N31"/>
      <c r="O31"/>
      <c r="P31"/>
      <c r="Q31"/>
      <c r="R31"/>
      <c r="S31"/>
      <c r="T31"/>
      <c r="U31" s="63"/>
    </row>
    <row r="32" spans="1:21" ht="28.5">
      <c r="A32" s="143" t="s">
        <v>679</v>
      </c>
      <c r="B32" s="139"/>
      <c r="C32" s="134"/>
      <c r="D32" s="148"/>
      <c r="E32" s="148"/>
      <c r="F32" s="148"/>
      <c r="G32" s="148"/>
      <c r="H32"/>
      <c r="I32"/>
      <c r="J32"/>
      <c r="K32"/>
      <c r="L32"/>
      <c r="M32"/>
      <c r="N32"/>
      <c r="O32"/>
      <c r="P32"/>
      <c r="Q32"/>
      <c r="R32"/>
      <c r="S32"/>
      <c r="T32"/>
      <c r="U32" s="63"/>
    </row>
    <row r="33" spans="1:21" s="3" customFormat="1" ht="52.5">
      <c r="A33" s="149" t="s">
        <v>680</v>
      </c>
      <c r="B33" s="139" t="s">
        <v>664</v>
      </c>
      <c r="C33" s="134"/>
      <c r="D33" s="148"/>
      <c r="E33" s="148"/>
      <c r="F33" s="148"/>
      <c r="G33" s="148"/>
      <c r="H33"/>
      <c r="I33"/>
      <c r="J33"/>
      <c r="K33"/>
      <c r="L33"/>
      <c r="M33"/>
      <c r="N33"/>
      <c r="O33"/>
      <c r="P33"/>
      <c r="Q33"/>
      <c r="R33"/>
      <c r="S33"/>
      <c r="T33"/>
      <c r="U33" s="63"/>
    </row>
    <row r="34" spans="1:21" s="3" customFormat="1" ht="14.25">
      <c r="A34" s="150" t="s">
        <v>681</v>
      </c>
      <c r="B34" s="151"/>
      <c r="C34" s="134"/>
      <c r="D34" s="148"/>
      <c r="E34" s="148"/>
      <c r="F34" s="148"/>
      <c r="G34" s="148"/>
      <c r="H34"/>
      <c r="I34"/>
      <c r="J34"/>
      <c r="K34"/>
      <c r="L34"/>
      <c r="M34"/>
      <c r="N34"/>
      <c r="O34"/>
      <c r="P34"/>
      <c r="Q34"/>
      <c r="R34"/>
      <c r="S34"/>
      <c r="T34"/>
      <c r="U34" s="63"/>
    </row>
    <row r="35" spans="1:21" s="3" customFormat="1" ht="42">
      <c r="A35" s="149" t="s">
        <v>682</v>
      </c>
      <c r="B35" s="139" t="s">
        <v>676</v>
      </c>
      <c r="C35" s="521"/>
      <c r="D35" s="516"/>
      <c r="E35" s="516"/>
      <c r="F35" s="516"/>
      <c r="G35" s="148"/>
      <c r="H35"/>
      <c r="I35"/>
      <c r="J35"/>
      <c r="K35"/>
      <c r="L35"/>
      <c r="M35"/>
      <c r="N35"/>
      <c r="O35"/>
      <c r="P35"/>
      <c r="Q35"/>
      <c r="R35"/>
      <c r="S35"/>
      <c r="T35"/>
      <c r="U35" s="63"/>
    </row>
    <row r="36" spans="1:21" s="3" customFormat="1" ht="21">
      <c r="A36" s="149" t="s">
        <v>683</v>
      </c>
      <c r="B36" s="139" t="s">
        <v>664</v>
      </c>
      <c r="C36" s="522"/>
      <c r="D36" s="517"/>
      <c r="E36" s="517"/>
      <c r="F36" s="517"/>
      <c r="G36" s="148"/>
      <c r="H36"/>
      <c r="I36"/>
      <c r="J36"/>
      <c r="K36"/>
      <c r="L36"/>
      <c r="M36"/>
      <c r="N36"/>
      <c r="O36"/>
      <c r="P36"/>
      <c r="Q36"/>
      <c r="R36"/>
      <c r="S36"/>
      <c r="T36"/>
      <c r="U36" s="63"/>
    </row>
    <row r="37" spans="1:21" s="3" customFormat="1" ht="21">
      <c r="A37" s="149" t="s">
        <v>684</v>
      </c>
      <c r="B37" s="139" t="s">
        <v>664</v>
      </c>
      <c r="C37" s="523"/>
      <c r="D37" s="518"/>
      <c r="E37" s="518"/>
      <c r="F37" s="518"/>
      <c r="G37" s="148"/>
      <c r="H37"/>
      <c r="I37"/>
      <c r="J37"/>
      <c r="K37"/>
      <c r="L37"/>
      <c r="M37"/>
      <c r="N37"/>
      <c r="O37"/>
      <c r="P37"/>
      <c r="Q37"/>
      <c r="R37"/>
      <c r="S37"/>
      <c r="T37"/>
      <c r="U37" s="63"/>
    </row>
    <row r="38" spans="1:21" ht="52.5">
      <c r="A38" s="157" t="s">
        <v>685</v>
      </c>
      <c r="B38" s="139" t="s">
        <v>676</v>
      </c>
      <c r="C38" s="134"/>
      <c r="D38" s="148"/>
      <c r="E38" s="148"/>
      <c r="F38" s="148"/>
      <c r="G38" s="148"/>
      <c r="H38"/>
      <c r="I38"/>
      <c r="J38"/>
      <c r="K38"/>
      <c r="L38"/>
      <c r="M38"/>
      <c r="N38"/>
      <c r="O38"/>
      <c r="P38"/>
      <c r="Q38"/>
      <c r="R38"/>
      <c r="S38"/>
      <c r="T38"/>
      <c r="U38" s="63"/>
    </row>
    <row r="39" spans="1:21" ht="31.5">
      <c r="A39" s="157" t="s">
        <v>686</v>
      </c>
      <c r="B39" s="139" t="s">
        <v>664</v>
      </c>
      <c r="C39" s="134"/>
      <c r="D39" s="148"/>
      <c r="E39" s="148"/>
      <c r="F39" s="148"/>
      <c r="G39" s="148"/>
      <c r="H39"/>
      <c r="I39"/>
      <c r="J39"/>
      <c r="K39"/>
      <c r="L39"/>
      <c r="M39"/>
      <c r="N39"/>
      <c r="O39"/>
      <c r="P39"/>
      <c r="Q39"/>
      <c r="R39"/>
      <c r="S39"/>
      <c r="T39"/>
      <c r="U39" s="63"/>
    </row>
    <row r="40" spans="1:21" ht="31.5">
      <c r="A40" s="157" t="s">
        <v>687</v>
      </c>
      <c r="B40" s="139" t="s">
        <v>664</v>
      </c>
      <c r="C40" s="134"/>
      <c r="D40" s="148"/>
      <c r="E40" s="148"/>
      <c r="F40" s="148"/>
      <c r="G40" s="148"/>
      <c r="H40"/>
      <c r="I40"/>
      <c r="J40"/>
      <c r="K40"/>
      <c r="L40"/>
      <c r="M40"/>
      <c r="N40"/>
      <c r="O40"/>
      <c r="P40"/>
      <c r="Q40"/>
      <c r="R40"/>
      <c r="S40"/>
      <c r="T40"/>
      <c r="U40" s="63"/>
    </row>
    <row r="41" spans="1:21" ht="52.5">
      <c r="A41" s="157" t="s">
        <v>688</v>
      </c>
      <c r="B41" s="139" t="s">
        <v>676</v>
      </c>
      <c r="C41" s="134"/>
      <c r="D41" s="148"/>
      <c r="E41" s="148"/>
      <c r="F41" s="148"/>
      <c r="G41" s="148"/>
      <c r="H41"/>
      <c r="I41"/>
      <c r="J41"/>
      <c r="K41"/>
      <c r="L41"/>
      <c r="M41"/>
      <c r="N41"/>
      <c r="O41"/>
      <c r="P41"/>
      <c r="Q41"/>
      <c r="R41"/>
      <c r="S41"/>
      <c r="T41"/>
      <c r="U41" s="63"/>
    </row>
    <row r="42" spans="1:21" ht="31.5">
      <c r="A42" s="157" t="s">
        <v>689</v>
      </c>
      <c r="B42" s="139" t="s">
        <v>664</v>
      </c>
      <c r="C42" s="134"/>
      <c r="D42" s="148"/>
      <c r="E42" s="148"/>
      <c r="F42" s="148"/>
      <c r="G42" s="148"/>
      <c r="H42"/>
      <c r="I42"/>
      <c r="J42"/>
      <c r="K42"/>
      <c r="L42"/>
      <c r="M42"/>
      <c r="N42"/>
      <c r="O42"/>
      <c r="P42"/>
      <c r="Q42"/>
      <c r="R42"/>
      <c r="S42"/>
      <c r="T42"/>
      <c r="U42" s="63"/>
    </row>
    <row r="43" spans="1:21" ht="31.5">
      <c r="A43" s="157" t="s">
        <v>690</v>
      </c>
      <c r="B43" s="139" t="s">
        <v>664</v>
      </c>
      <c r="C43" s="134"/>
      <c r="D43" s="148"/>
      <c r="E43" s="148"/>
      <c r="F43" s="148"/>
      <c r="G43" s="148"/>
      <c r="H43"/>
      <c r="I43"/>
      <c r="J43"/>
      <c r="K43"/>
      <c r="L43"/>
      <c r="M43"/>
      <c r="N43"/>
      <c r="O43"/>
      <c r="P43"/>
      <c r="Q43"/>
      <c r="R43"/>
      <c r="S43"/>
      <c r="T43"/>
      <c r="U43" s="63"/>
    </row>
    <row r="44" spans="1:21" ht="28.5">
      <c r="A44" s="150" t="s">
        <v>691</v>
      </c>
      <c r="B44" s="151"/>
      <c r="C44" s="134"/>
      <c r="D44" s="148"/>
      <c r="E44" s="148"/>
      <c r="F44" s="148"/>
      <c r="G44" s="148"/>
      <c r="H44"/>
      <c r="I44"/>
      <c r="J44"/>
      <c r="K44"/>
      <c r="L44"/>
      <c r="M44"/>
      <c r="N44"/>
      <c r="O44"/>
      <c r="P44"/>
      <c r="Q44"/>
      <c r="R44"/>
      <c r="S44"/>
      <c r="T44"/>
      <c r="U44" s="63"/>
    </row>
    <row r="45" spans="1:21" ht="42">
      <c r="A45" s="149" t="s">
        <v>692</v>
      </c>
      <c r="B45" s="139" t="s">
        <v>676</v>
      </c>
      <c r="C45" s="521"/>
      <c r="D45" s="516"/>
      <c r="E45" s="148"/>
      <c r="F45" s="147"/>
      <c r="G45" s="148"/>
      <c r="H45"/>
      <c r="I45"/>
      <c r="J45"/>
      <c r="K45"/>
      <c r="L45"/>
      <c r="M45"/>
      <c r="N45"/>
      <c r="O45"/>
      <c r="P45"/>
      <c r="Q45"/>
      <c r="R45"/>
      <c r="S45"/>
      <c r="T45"/>
      <c r="U45" s="63"/>
    </row>
    <row r="46" spans="1:21" ht="21">
      <c r="A46" s="149" t="s">
        <v>693</v>
      </c>
      <c r="B46" s="139" t="s">
        <v>664</v>
      </c>
      <c r="C46" s="522"/>
      <c r="D46" s="517"/>
      <c r="E46" s="148"/>
      <c r="F46" s="148"/>
      <c r="G46" s="148"/>
      <c r="H46"/>
      <c r="I46"/>
      <c r="J46"/>
      <c r="K46"/>
      <c r="L46"/>
      <c r="M46"/>
      <c r="N46"/>
      <c r="O46"/>
      <c r="P46"/>
      <c r="Q46"/>
      <c r="R46"/>
      <c r="S46"/>
      <c r="T46"/>
      <c r="U46" s="63"/>
    </row>
    <row r="47" spans="1:21" ht="21">
      <c r="A47" s="149" t="s">
        <v>694</v>
      </c>
      <c r="B47" s="139" t="s">
        <v>664</v>
      </c>
      <c r="C47" s="523"/>
      <c r="D47" s="518"/>
      <c r="E47" s="148"/>
      <c r="F47" s="156"/>
      <c r="G47" s="148"/>
      <c r="H47"/>
      <c r="I47"/>
      <c r="J47"/>
      <c r="K47"/>
      <c r="L47"/>
      <c r="M47"/>
      <c r="N47"/>
      <c r="O47"/>
      <c r="P47"/>
      <c r="Q47"/>
      <c r="R47"/>
      <c r="S47"/>
      <c r="T47"/>
      <c r="U47" s="63"/>
    </row>
    <row r="48" spans="1:21" ht="52.5">
      <c r="A48" s="157" t="s">
        <v>696</v>
      </c>
      <c r="B48" s="139" t="s">
        <v>676</v>
      </c>
      <c r="C48" s="134"/>
      <c r="D48" s="148"/>
      <c r="E48" s="148"/>
      <c r="F48" s="148"/>
      <c r="G48" s="148"/>
      <c r="H48"/>
      <c r="I48"/>
      <c r="J48"/>
      <c r="K48"/>
      <c r="L48"/>
      <c r="M48"/>
      <c r="N48"/>
      <c r="O48"/>
      <c r="P48"/>
      <c r="Q48"/>
      <c r="R48"/>
      <c r="S48"/>
      <c r="T48"/>
      <c r="U48" s="63"/>
    </row>
    <row r="49" spans="1:21" ht="31.5">
      <c r="A49" s="157" t="s">
        <v>697</v>
      </c>
      <c r="B49" s="139" t="s">
        <v>664</v>
      </c>
      <c r="C49" s="134"/>
      <c r="D49" s="148"/>
      <c r="E49" s="148"/>
      <c r="F49" s="148"/>
      <c r="G49" s="148"/>
      <c r="H49"/>
      <c r="I49"/>
      <c r="J49"/>
      <c r="K49"/>
      <c r="L49"/>
      <c r="M49"/>
      <c r="N49"/>
      <c r="O49"/>
      <c r="P49"/>
      <c r="Q49"/>
      <c r="R49"/>
      <c r="S49"/>
      <c r="T49"/>
      <c r="U49" s="63"/>
    </row>
    <row r="50" spans="1:21" ht="31.5">
      <c r="A50" s="157" t="s">
        <v>698</v>
      </c>
      <c r="B50" s="139" t="s">
        <v>664</v>
      </c>
      <c r="C50" s="134"/>
      <c r="D50" s="148"/>
      <c r="E50" s="148"/>
      <c r="F50" s="148"/>
      <c r="G50" s="148"/>
      <c r="H50"/>
      <c r="I50"/>
      <c r="J50"/>
      <c r="K50"/>
      <c r="L50"/>
      <c r="M50"/>
      <c r="N50"/>
      <c r="O50"/>
      <c r="P50"/>
      <c r="Q50"/>
      <c r="R50"/>
      <c r="S50"/>
      <c r="T50"/>
      <c r="U50" s="63"/>
    </row>
    <row r="51" spans="1:21" ht="42">
      <c r="A51" s="157" t="s">
        <v>699</v>
      </c>
      <c r="B51" s="139" t="s">
        <v>676</v>
      </c>
      <c r="C51" s="134"/>
      <c r="D51" s="148"/>
      <c r="E51" s="148"/>
      <c r="F51" s="148"/>
      <c r="G51" s="148"/>
      <c r="H51"/>
      <c r="I51"/>
      <c r="J51"/>
      <c r="K51"/>
      <c r="L51"/>
      <c r="M51"/>
      <c r="N51"/>
      <c r="O51"/>
      <c r="P51"/>
      <c r="Q51"/>
      <c r="R51"/>
      <c r="S51"/>
      <c r="T51"/>
      <c r="U51" s="63"/>
    </row>
    <row r="52" spans="1:21" ht="21">
      <c r="A52" s="157" t="s">
        <v>700</v>
      </c>
      <c r="B52" s="139" t="s">
        <v>664</v>
      </c>
      <c r="C52" s="134"/>
      <c r="D52" s="148"/>
      <c r="E52" s="148"/>
      <c r="F52" s="148"/>
      <c r="G52" s="148"/>
      <c r="H52"/>
      <c r="I52"/>
      <c r="J52"/>
      <c r="K52"/>
      <c r="L52"/>
      <c r="M52"/>
      <c r="N52"/>
      <c r="O52"/>
      <c r="P52"/>
      <c r="Q52"/>
      <c r="R52"/>
      <c r="S52"/>
      <c r="T52"/>
      <c r="U52" s="63"/>
    </row>
    <row r="53" spans="1:21" ht="21">
      <c r="A53" s="157" t="s">
        <v>701</v>
      </c>
      <c r="B53" s="139" t="s">
        <v>664</v>
      </c>
      <c r="C53" s="134"/>
      <c r="D53" s="148"/>
      <c r="E53" s="148"/>
      <c r="F53" s="148"/>
      <c r="G53" s="148"/>
      <c r="H53"/>
      <c r="I53"/>
      <c r="J53"/>
      <c r="K53"/>
      <c r="L53"/>
      <c r="M53"/>
      <c r="N53"/>
      <c r="O53"/>
      <c r="P53"/>
      <c r="Q53"/>
      <c r="R53"/>
      <c r="S53"/>
      <c r="T53"/>
      <c r="U53" s="63"/>
    </row>
    <row r="54" spans="1:21" ht="52.5">
      <c r="A54" s="157" t="s">
        <v>702</v>
      </c>
      <c r="B54" s="139" t="s">
        <v>676</v>
      </c>
      <c r="C54" s="134"/>
      <c r="D54" s="148"/>
      <c r="E54" s="148"/>
      <c r="F54" s="148"/>
      <c r="G54" s="148"/>
      <c r="H54"/>
      <c r="I54"/>
      <c r="J54"/>
      <c r="K54"/>
      <c r="L54"/>
      <c r="M54"/>
      <c r="N54"/>
      <c r="O54"/>
      <c r="P54"/>
      <c r="Q54"/>
      <c r="R54"/>
      <c r="S54"/>
      <c r="T54"/>
      <c r="U54" s="63"/>
    </row>
    <row r="55" spans="1:21" ht="31.5">
      <c r="A55" s="157" t="s">
        <v>703</v>
      </c>
      <c r="B55" s="139" t="s">
        <v>664</v>
      </c>
      <c r="C55" s="134"/>
      <c r="D55" s="148"/>
      <c r="E55" s="148"/>
      <c r="F55" s="148"/>
      <c r="G55" s="148"/>
      <c r="H55"/>
      <c r="I55"/>
      <c r="J55"/>
      <c r="K55"/>
      <c r="L55"/>
      <c r="M55"/>
      <c r="N55"/>
      <c r="O55"/>
      <c r="P55"/>
      <c r="Q55"/>
      <c r="R55"/>
      <c r="S55"/>
      <c r="T55"/>
      <c r="U55" s="63"/>
    </row>
    <row r="56" spans="1:21" ht="31.5">
      <c r="A56" s="157" t="s">
        <v>704</v>
      </c>
      <c r="B56" s="139" t="s">
        <v>664</v>
      </c>
      <c r="C56" s="134"/>
      <c r="D56" s="148"/>
      <c r="E56" s="148"/>
      <c r="F56" s="148"/>
      <c r="G56" s="148"/>
      <c r="H56"/>
      <c r="I56"/>
      <c r="J56"/>
      <c r="K56"/>
      <c r="L56"/>
      <c r="M56"/>
      <c r="N56"/>
      <c r="O56"/>
      <c r="P56"/>
      <c r="Q56"/>
      <c r="R56"/>
      <c r="S56"/>
      <c r="T56"/>
      <c r="U56" s="63"/>
    </row>
    <row r="57" spans="1:21" ht="52.5">
      <c r="A57" s="157" t="s">
        <v>705</v>
      </c>
      <c r="B57" s="139" t="s">
        <v>676</v>
      </c>
      <c r="C57" s="134"/>
      <c r="D57" s="148"/>
      <c r="E57" s="148"/>
      <c r="F57" s="148"/>
      <c r="G57" s="148"/>
      <c r="H57"/>
      <c r="I57"/>
      <c r="J57"/>
      <c r="K57"/>
      <c r="L57"/>
      <c r="M57"/>
      <c r="N57"/>
      <c r="O57"/>
      <c r="P57"/>
      <c r="Q57"/>
      <c r="R57"/>
      <c r="S57"/>
      <c r="T57"/>
      <c r="U57" s="63"/>
    </row>
    <row r="58" spans="1:21" ht="31.5">
      <c r="A58" s="157" t="s">
        <v>706</v>
      </c>
      <c r="B58" s="139" t="s">
        <v>664</v>
      </c>
      <c r="C58" s="134"/>
      <c r="D58" s="148"/>
      <c r="E58" s="148"/>
      <c r="F58" s="148"/>
      <c r="G58" s="148"/>
      <c r="H58"/>
      <c r="I58"/>
      <c r="J58"/>
      <c r="K58"/>
      <c r="L58"/>
      <c r="M58"/>
      <c r="N58"/>
      <c r="O58"/>
      <c r="P58"/>
      <c r="Q58"/>
      <c r="R58"/>
      <c r="S58"/>
      <c r="T58"/>
      <c r="U58" s="63"/>
    </row>
    <row r="59" spans="1:21" ht="31.5">
      <c r="A59" s="157" t="s">
        <v>707</v>
      </c>
      <c r="B59" s="139" t="s">
        <v>664</v>
      </c>
      <c r="C59" s="134"/>
      <c r="D59" s="148"/>
      <c r="E59" s="148"/>
      <c r="F59" s="148"/>
      <c r="G59" s="148"/>
      <c r="H59"/>
      <c r="I59"/>
      <c r="J59"/>
      <c r="K59"/>
      <c r="L59"/>
      <c r="M59"/>
      <c r="N59"/>
      <c r="O59"/>
      <c r="P59"/>
      <c r="Q59"/>
      <c r="R59"/>
      <c r="S59"/>
      <c r="T59"/>
      <c r="U59" s="63"/>
    </row>
    <row r="60" spans="1:21" ht="63">
      <c r="A60" s="157" t="s">
        <v>708</v>
      </c>
      <c r="B60" s="139" t="s">
        <v>676</v>
      </c>
      <c r="C60" s="134"/>
      <c r="D60" s="148"/>
      <c r="E60" s="148"/>
      <c r="F60" s="148"/>
      <c r="G60" s="148"/>
      <c r="H60"/>
      <c r="I60"/>
      <c r="J60"/>
      <c r="K60"/>
      <c r="L60"/>
      <c r="M60"/>
      <c r="N60"/>
      <c r="O60"/>
      <c r="P60"/>
      <c r="Q60"/>
      <c r="R60"/>
      <c r="S60"/>
      <c r="T60"/>
      <c r="U60" s="63"/>
    </row>
    <row r="61" spans="1:21" ht="42">
      <c r="A61" s="157" t="s">
        <v>709</v>
      </c>
      <c r="B61" s="139" t="s">
        <v>664</v>
      </c>
      <c r="C61" s="134"/>
      <c r="D61" s="148"/>
      <c r="E61" s="148"/>
      <c r="F61" s="148"/>
      <c r="G61" s="148"/>
      <c r="H61"/>
      <c r="I61"/>
      <c r="J61"/>
      <c r="K61"/>
      <c r="L61"/>
      <c r="M61"/>
      <c r="N61"/>
      <c r="O61"/>
      <c r="P61"/>
      <c r="Q61"/>
      <c r="R61"/>
      <c r="S61"/>
      <c r="T61"/>
      <c r="U61" s="64"/>
    </row>
    <row r="62" spans="1:21" ht="42">
      <c r="A62" s="157" t="s">
        <v>711</v>
      </c>
      <c r="B62" s="139" t="s">
        <v>664</v>
      </c>
      <c r="C62" s="134"/>
      <c r="D62" s="148"/>
      <c r="E62" s="148"/>
      <c r="F62" s="148"/>
      <c r="G62" s="148"/>
      <c r="H62"/>
      <c r="I62"/>
      <c r="J62"/>
      <c r="K62"/>
      <c r="L62"/>
      <c r="M62"/>
      <c r="N62"/>
      <c r="O62"/>
      <c r="P62"/>
      <c r="Q62"/>
      <c r="R62"/>
      <c r="S62"/>
      <c r="T62"/>
      <c r="U62" s="64"/>
    </row>
    <row r="63" spans="1:21" ht="52.5">
      <c r="A63" s="157" t="s">
        <v>712</v>
      </c>
      <c r="B63" s="139" t="s">
        <v>676</v>
      </c>
      <c r="C63" s="134"/>
      <c r="D63" s="148"/>
      <c r="E63" s="148"/>
      <c r="F63" s="148"/>
      <c r="G63" s="148"/>
      <c r="H63"/>
      <c r="I63"/>
      <c r="J63"/>
      <c r="K63"/>
      <c r="L63"/>
      <c r="M63"/>
      <c r="N63"/>
      <c r="O63"/>
      <c r="P63"/>
      <c r="Q63"/>
      <c r="R63"/>
      <c r="S63"/>
      <c r="T63"/>
      <c r="U63" s="64"/>
    </row>
    <row r="64" spans="1:21" ht="31.5">
      <c r="A64" s="157" t="s">
        <v>713</v>
      </c>
      <c r="B64" s="139" t="s">
        <v>664</v>
      </c>
      <c r="C64" s="134"/>
      <c r="D64" s="148"/>
      <c r="E64" s="148"/>
      <c r="F64" s="148"/>
      <c r="G64" s="148"/>
      <c r="H64"/>
      <c r="I64"/>
      <c r="J64"/>
      <c r="K64"/>
      <c r="L64"/>
      <c r="M64"/>
      <c r="N64"/>
      <c r="O64"/>
      <c r="P64"/>
      <c r="Q64"/>
      <c r="R64"/>
      <c r="S64"/>
      <c r="T64"/>
      <c r="U64" s="64"/>
    </row>
    <row r="65" spans="1:21" ht="31.5">
      <c r="A65" s="157" t="s">
        <v>714</v>
      </c>
      <c r="B65" s="139" t="s">
        <v>664</v>
      </c>
      <c r="C65" s="134"/>
      <c r="D65" s="148"/>
      <c r="E65" s="148"/>
      <c r="F65" s="148"/>
      <c r="G65" s="148"/>
      <c r="H65"/>
      <c r="I65"/>
      <c r="J65"/>
      <c r="K65"/>
      <c r="L65"/>
      <c r="M65"/>
      <c r="N65"/>
      <c r="O65"/>
      <c r="P65"/>
      <c r="Q65"/>
      <c r="R65"/>
      <c r="S65"/>
      <c r="T65"/>
      <c r="U65" s="64"/>
    </row>
    <row r="66" spans="1:21" ht="42">
      <c r="A66" s="157" t="s">
        <v>715</v>
      </c>
      <c r="B66" s="139" t="s">
        <v>676</v>
      </c>
      <c r="C66" s="134"/>
      <c r="D66" s="148"/>
      <c r="E66" s="148"/>
      <c r="F66" s="148"/>
      <c r="G66" s="148"/>
      <c r="H66"/>
      <c r="I66"/>
      <c r="J66"/>
      <c r="K66"/>
      <c r="L66"/>
      <c r="M66"/>
      <c r="N66"/>
      <c r="O66"/>
      <c r="P66"/>
      <c r="Q66"/>
      <c r="R66"/>
      <c r="S66"/>
      <c r="T66"/>
      <c r="U66" s="64"/>
    </row>
    <row r="67" spans="1:21" ht="21">
      <c r="A67" s="157" t="s">
        <v>716</v>
      </c>
      <c r="B67" s="139" t="s">
        <v>664</v>
      </c>
      <c r="C67" s="134"/>
      <c r="D67" s="148"/>
      <c r="E67" s="148"/>
      <c r="F67" s="148"/>
      <c r="G67" s="148"/>
      <c r="H67"/>
      <c r="I67"/>
      <c r="J67"/>
      <c r="K67"/>
      <c r="L67"/>
      <c r="M67"/>
      <c r="N67"/>
      <c r="O67"/>
      <c r="P67"/>
      <c r="Q67"/>
      <c r="R67"/>
      <c r="S67"/>
      <c r="T67"/>
      <c r="U67" s="64"/>
    </row>
    <row r="68" spans="1:21" ht="21">
      <c r="A68" s="157" t="s">
        <v>717</v>
      </c>
      <c r="B68" s="139" t="s">
        <v>664</v>
      </c>
      <c r="C68" s="134"/>
      <c r="D68" s="148"/>
      <c r="E68" s="148"/>
      <c r="F68" s="148"/>
      <c r="G68" s="148"/>
      <c r="H68"/>
      <c r="I68"/>
      <c r="J68"/>
      <c r="K68"/>
      <c r="L68"/>
      <c r="M68"/>
      <c r="N68"/>
      <c r="O68"/>
      <c r="P68"/>
      <c r="Q68"/>
      <c r="R68"/>
      <c r="S68"/>
      <c r="T68"/>
      <c r="U68" s="64"/>
    </row>
    <row r="69" spans="1:21" ht="52.5">
      <c r="A69" s="157" t="s">
        <v>718</v>
      </c>
      <c r="B69" s="139" t="s">
        <v>676</v>
      </c>
      <c r="C69" s="134"/>
      <c r="D69" s="148"/>
      <c r="E69" s="148"/>
      <c r="F69" s="148"/>
      <c r="G69" s="148"/>
      <c r="H69"/>
      <c r="I69"/>
      <c r="J69"/>
      <c r="K69"/>
      <c r="L69"/>
      <c r="M69"/>
      <c r="N69"/>
      <c r="O69"/>
      <c r="P69"/>
      <c r="Q69"/>
      <c r="R69"/>
      <c r="S69"/>
      <c r="T69"/>
      <c r="U69" s="63"/>
    </row>
    <row r="70" spans="1:21" ht="31.5">
      <c r="A70" s="157" t="s">
        <v>719</v>
      </c>
      <c r="B70" s="139" t="s">
        <v>664</v>
      </c>
      <c r="C70" s="134"/>
      <c r="D70" s="148"/>
      <c r="E70" s="148"/>
      <c r="F70" s="148"/>
      <c r="G70" s="148"/>
      <c r="H70"/>
      <c r="I70"/>
      <c r="J70"/>
      <c r="K70"/>
      <c r="L70"/>
      <c r="M70"/>
      <c r="N70"/>
      <c r="O70"/>
      <c r="P70"/>
      <c r="Q70"/>
      <c r="R70"/>
      <c r="S70"/>
      <c r="T70"/>
      <c r="U70" s="63"/>
    </row>
    <row r="71" spans="1:21" ht="31.5">
      <c r="A71" s="157" t="s">
        <v>720</v>
      </c>
      <c r="B71" s="139" t="s">
        <v>664</v>
      </c>
      <c r="C71" s="134"/>
      <c r="D71" s="148"/>
      <c r="E71" s="148"/>
      <c r="F71" s="148"/>
      <c r="G71" s="148"/>
      <c r="H71"/>
      <c r="I71"/>
      <c r="J71"/>
      <c r="K71"/>
      <c r="L71"/>
      <c r="M71"/>
      <c r="N71"/>
      <c r="O71"/>
      <c r="P71"/>
      <c r="Q71"/>
      <c r="R71"/>
      <c r="S71"/>
      <c r="T71"/>
      <c r="U71" s="63"/>
    </row>
    <row r="72" spans="1:21" ht="52.5">
      <c r="A72" s="157" t="s">
        <v>721</v>
      </c>
      <c r="B72" s="139" t="s">
        <v>676</v>
      </c>
      <c r="C72" s="134"/>
      <c r="D72" s="148"/>
      <c r="E72" s="148"/>
      <c r="F72" s="148"/>
      <c r="G72" s="148"/>
      <c r="H72"/>
      <c r="I72"/>
      <c r="J72"/>
      <c r="K72"/>
      <c r="L72"/>
      <c r="M72"/>
      <c r="N72"/>
      <c r="O72"/>
      <c r="P72"/>
      <c r="Q72"/>
      <c r="R72"/>
      <c r="S72"/>
      <c r="T72"/>
      <c r="U72" s="63"/>
    </row>
    <row r="73" spans="1:21" ht="31.5">
      <c r="A73" s="157" t="s">
        <v>722</v>
      </c>
      <c r="B73" s="139" t="s">
        <v>664</v>
      </c>
      <c r="C73" s="134"/>
      <c r="D73" s="148"/>
      <c r="E73" s="148"/>
      <c r="F73" s="148"/>
      <c r="G73" s="148"/>
      <c r="H73"/>
      <c r="I73"/>
      <c r="J73"/>
      <c r="K73"/>
      <c r="L73"/>
      <c r="M73"/>
      <c r="N73"/>
      <c r="O73"/>
      <c r="P73"/>
      <c r="Q73"/>
      <c r="R73"/>
      <c r="S73"/>
      <c r="T73"/>
      <c r="U73" s="63"/>
    </row>
    <row r="74" spans="1:21" ht="31.5">
      <c r="A74" s="157" t="s">
        <v>723</v>
      </c>
      <c r="B74" s="139" t="s">
        <v>664</v>
      </c>
      <c r="C74" s="134"/>
      <c r="D74" s="148"/>
      <c r="E74" s="148"/>
      <c r="F74" s="148"/>
      <c r="G74" s="148"/>
      <c r="H74"/>
      <c r="I74"/>
      <c r="J74"/>
      <c r="K74"/>
      <c r="L74"/>
      <c r="M74"/>
      <c r="N74"/>
      <c r="O74"/>
      <c r="P74"/>
      <c r="Q74"/>
      <c r="R74"/>
      <c r="S74"/>
      <c r="T74"/>
      <c r="U74" s="63"/>
    </row>
    <row r="75" spans="1:21" ht="63">
      <c r="A75" s="157" t="s">
        <v>724</v>
      </c>
      <c r="B75" s="139" t="s">
        <v>676</v>
      </c>
      <c r="C75" s="134"/>
      <c r="D75" s="148"/>
      <c r="E75" s="148"/>
      <c r="F75" s="148"/>
      <c r="G75" s="148"/>
      <c r="H75"/>
      <c r="I75"/>
      <c r="J75"/>
      <c r="K75"/>
      <c r="L75"/>
      <c r="M75"/>
      <c r="N75"/>
      <c r="O75"/>
      <c r="P75"/>
      <c r="Q75"/>
      <c r="R75"/>
      <c r="S75"/>
      <c r="T75"/>
      <c r="U75" s="64"/>
    </row>
    <row r="76" spans="1:21" ht="42">
      <c r="A76" s="157" t="s">
        <v>725</v>
      </c>
      <c r="B76" s="139" t="s">
        <v>664</v>
      </c>
      <c r="C76" s="134"/>
      <c r="D76" s="148"/>
      <c r="E76" s="148"/>
      <c r="F76" s="148"/>
      <c r="G76" s="148"/>
      <c r="H76"/>
      <c r="I76"/>
      <c r="J76"/>
      <c r="K76"/>
      <c r="L76"/>
      <c r="M76"/>
      <c r="N76"/>
      <c r="O76"/>
      <c r="P76"/>
      <c r="Q76"/>
      <c r="R76"/>
      <c r="S76"/>
      <c r="T76"/>
      <c r="U76" s="63"/>
    </row>
    <row r="77" spans="1:21" ht="42">
      <c r="A77" s="157" t="s">
        <v>726</v>
      </c>
      <c r="B77" s="139" t="s">
        <v>664</v>
      </c>
      <c r="C77" s="134"/>
      <c r="D77" s="148"/>
      <c r="E77" s="148"/>
      <c r="F77" s="148"/>
      <c r="G77" s="148"/>
      <c r="H77"/>
      <c r="I77"/>
      <c r="J77"/>
      <c r="K77"/>
      <c r="L77"/>
      <c r="M77"/>
      <c r="N77"/>
      <c r="O77"/>
      <c r="P77"/>
      <c r="Q77"/>
      <c r="R77"/>
      <c r="S77"/>
      <c r="T77"/>
      <c r="U77" s="63"/>
    </row>
    <row r="78" spans="1:21" ht="52.5">
      <c r="A78" s="157" t="s">
        <v>727</v>
      </c>
      <c r="B78" s="139" t="s">
        <v>676</v>
      </c>
      <c r="C78" s="134"/>
      <c r="D78" s="148"/>
      <c r="E78" s="148"/>
      <c r="F78" s="148"/>
      <c r="G78" s="148"/>
      <c r="H78"/>
      <c r="I78"/>
      <c r="J78"/>
      <c r="K78"/>
      <c r="L78"/>
      <c r="M78"/>
      <c r="N78"/>
      <c r="O78"/>
      <c r="P78"/>
      <c r="Q78"/>
      <c r="R78"/>
      <c r="S78"/>
      <c r="T78"/>
      <c r="U78" s="63"/>
    </row>
    <row r="79" spans="1:21" ht="31.5">
      <c r="A79" s="157" t="s">
        <v>728</v>
      </c>
      <c r="B79" s="139" t="s">
        <v>664</v>
      </c>
      <c r="C79" s="134"/>
      <c r="D79" s="148"/>
      <c r="E79" s="148"/>
      <c r="F79" s="148"/>
      <c r="G79" s="148"/>
      <c r="H79"/>
      <c r="I79"/>
      <c r="J79"/>
      <c r="K79"/>
      <c r="L79"/>
      <c r="M79"/>
      <c r="N79"/>
      <c r="O79"/>
      <c r="P79"/>
      <c r="Q79"/>
      <c r="R79"/>
      <c r="S79"/>
      <c r="T79"/>
      <c r="U79" s="63"/>
    </row>
    <row r="80" spans="1:21" ht="31.5">
      <c r="A80" s="157" t="s">
        <v>729</v>
      </c>
      <c r="B80" s="139" t="s">
        <v>664</v>
      </c>
      <c r="C80" s="134"/>
      <c r="D80" s="148"/>
      <c r="E80" s="148"/>
      <c r="F80" s="148"/>
      <c r="G80" s="148"/>
      <c r="H80"/>
      <c r="I80"/>
      <c r="J80"/>
      <c r="K80"/>
      <c r="L80"/>
      <c r="M80"/>
      <c r="N80"/>
      <c r="O80"/>
      <c r="P80"/>
      <c r="Q80"/>
      <c r="R80"/>
      <c r="S80"/>
      <c r="T80"/>
      <c r="U80" s="63"/>
    </row>
    <row r="81" spans="1:21" ht="52.5">
      <c r="A81" s="157" t="s">
        <v>730</v>
      </c>
      <c r="B81" s="139" t="s">
        <v>676</v>
      </c>
      <c r="C81" s="134"/>
      <c r="D81" s="148"/>
      <c r="E81" s="148"/>
      <c r="F81" s="148"/>
      <c r="G81" s="148"/>
      <c r="H81"/>
      <c r="I81"/>
      <c r="J81"/>
      <c r="K81"/>
      <c r="L81"/>
      <c r="M81"/>
      <c r="N81"/>
      <c r="O81"/>
      <c r="P81"/>
      <c r="Q81"/>
      <c r="R81"/>
      <c r="S81"/>
      <c r="T81"/>
      <c r="U81" s="63"/>
    </row>
    <row r="82" spans="1:21" ht="31.5">
      <c r="A82" s="157" t="s">
        <v>731</v>
      </c>
      <c r="B82" s="139" t="s">
        <v>664</v>
      </c>
      <c r="C82" s="134"/>
      <c r="D82" s="148"/>
      <c r="E82" s="148"/>
      <c r="F82" s="148"/>
      <c r="G82" s="148"/>
      <c r="H82"/>
      <c r="I82"/>
      <c r="J82"/>
      <c r="K82"/>
      <c r="L82"/>
      <c r="M82"/>
      <c r="N82"/>
      <c r="O82"/>
      <c r="P82"/>
      <c r="Q82"/>
      <c r="R82"/>
      <c r="S82"/>
      <c r="T82"/>
      <c r="U82" s="63"/>
    </row>
    <row r="83" spans="1:21" ht="31.5">
      <c r="A83" s="157" t="s">
        <v>732</v>
      </c>
      <c r="B83" s="139" t="s">
        <v>664</v>
      </c>
      <c r="C83" s="134"/>
      <c r="D83" s="148"/>
      <c r="E83" s="148"/>
      <c r="F83" s="148"/>
      <c r="G83" s="148"/>
      <c r="H83"/>
      <c r="I83"/>
      <c r="J83"/>
      <c r="K83"/>
      <c r="L83"/>
      <c r="M83"/>
      <c r="N83"/>
      <c r="O83"/>
      <c r="P83"/>
      <c r="Q83"/>
      <c r="R83"/>
      <c r="S83"/>
      <c r="T83"/>
      <c r="U83" s="63"/>
    </row>
    <row r="84" spans="1:21" ht="52.5">
      <c r="A84" s="157" t="s">
        <v>733</v>
      </c>
      <c r="B84" s="139" t="s">
        <v>676</v>
      </c>
      <c r="C84" s="134"/>
      <c r="D84" s="148"/>
      <c r="E84" s="148"/>
      <c r="F84" s="148"/>
      <c r="G84" s="148"/>
      <c r="H84"/>
      <c r="I84"/>
      <c r="J84"/>
      <c r="K84"/>
      <c r="L84"/>
      <c r="M84"/>
      <c r="N84"/>
      <c r="O84"/>
      <c r="P84"/>
      <c r="Q84"/>
      <c r="R84"/>
      <c r="S84"/>
      <c r="T84"/>
      <c r="U84" s="63"/>
    </row>
    <row r="85" spans="1:21" ht="31.5">
      <c r="A85" s="157" t="s">
        <v>734</v>
      </c>
      <c r="B85" s="139" t="s">
        <v>664</v>
      </c>
      <c r="C85" s="134"/>
      <c r="D85" s="148"/>
      <c r="E85" s="148"/>
      <c r="F85" s="148"/>
      <c r="G85" s="148"/>
      <c r="H85"/>
      <c r="I85"/>
      <c r="J85"/>
      <c r="K85"/>
      <c r="L85"/>
      <c r="M85"/>
      <c r="N85"/>
      <c r="O85"/>
      <c r="P85"/>
      <c r="Q85"/>
      <c r="R85"/>
      <c r="S85"/>
      <c r="T85"/>
      <c r="U85" s="63"/>
    </row>
    <row r="86" spans="1:21" ht="31.5">
      <c r="A86" s="157" t="s">
        <v>735</v>
      </c>
      <c r="B86" s="139" t="s">
        <v>664</v>
      </c>
      <c r="C86" s="134"/>
      <c r="D86" s="148"/>
      <c r="E86" s="148"/>
      <c r="F86" s="148"/>
      <c r="G86" s="148"/>
      <c r="H86"/>
      <c r="I86"/>
      <c r="J86"/>
      <c r="K86"/>
      <c r="L86"/>
      <c r="M86"/>
      <c r="N86"/>
      <c r="O86"/>
      <c r="P86"/>
      <c r="Q86"/>
      <c r="R86"/>
      <c r="S86"/>
      <c r="T86"/>
      <c r="U86" s="63"/>
    </row>
    <row r="87" spans="1:21" ht="42">
      <c r="A87" s="157" t="s">
        <v>736</v>
      </c>
      <c r="B87" s="139" t="s">
        <v>676</v>
      </c>
      <c r="C87" s="134"/>
      <c r="D87" s="148"/>
      <c r="E87" s="148"/>
      <c r="F87" s="148"/>
      <c r="G87" s="148"/>
      <c r="H87"/>
      <c r="I87"/>
      <c r="J87"/>
      <c r="K87"/>
      <c r="L87"/>
      <c r="M87"/>
      <c r="N87"/>
      <c r="O87"/>
      <c r="P87"/>
      <c r="Q87"/>
      <c r="R87"/>
      <c r="S87"/>
      <c r="T87"/>
      <c r="U87" s="63"/>
    </row>
    <row r="88" spans="1:21" ht="21">
      <c r="A88" s="157" t="s">
        <v>737</v>
      </c>
      <c r="B88" s="139" t="s">
        <v>664</v>
      </c>
      <c r="C88" s="134"/>
      <c r="D88" s="148"/>
      <c r="E88" s="148"/>
      <c r="F88" s="148"/>
      <c r="G88" s="148"/>
      <c r="H88"/>
      <c r="I88"/>
      <c r="J88"/>
      <c r="K88"/>
      <c r="L88"/>
      <c r="M88"/>
      <c r="N88"/>
      <c r="O88"/>
      <c r="P88"/>
      <c r="Q88"/>
      <c r="R88"/>
      <c r="S88"/>
      <c r="T88"/>
      <c r="U88" s="63"/>
    </row>
    <row r="89" spans="1:21" ht="21">
      <c r="A89" s="157" t="s">
        <v>738</v>
      </c>
      <c r="B89" s="139" t="s">
        <v>664</v>
      </c>
      <c r="C89" s="134"/>
      <c r="D89" s="148"/>
      <c r="E89" s="148"/>
      <c r="F89" s="148"/>
      <c r="G89" s="148"/>
      <c r="H89"/>
      <c r="I89"/>
      <c r="J89"/>
      <c r="K89"/>
      <c r="L89"/>
      <c r="M89"/>
      <c r="N89"/>
      <c r="O89"/>
      <c r="P89"/>
      <c r="Q89"/>
      <c r="R89"/>
      <c r="S89"/>
      <c r="T89"/>
      <c r="U89" s="63"/>
    </row>
    <row r="90" spans="1:21" ht="28.5">
      <c r="A90" s="158" t="s">
        <v>739</v>
      </c>
      <c r="B90" s="159"/>
      <c r="C90" s="134"/>
      <c r="D90" s="148"/>
      <c r="E90" s="148"/>
      <c r="F90" s="148"/>
      <c r="G90" s="148"/>
      <c r="H90"/>
      <c r="I90"/>
      <c r="J90"/>
      <c r="K90"/>
      <c r="L90"/>
      <c r="M90"/>
      <c r="N90"/>
      <c r="O90"/>
      <c r="P90"/>
      <c r="Q90"/>
      <c r="R90"/>
      <c r="S90"/>
      <c r="T90"/>
      <c r="U90" s="63"/>
    </row>
    <row r="91" spans="1:21" ht="42">
      <c r="A91" s="138" t="s">
        <v>740</v>
      </c>
      <c r="B91" s="139" t="s">
        <v>676</v>
      </c>
      <c r="C91" s="521"/>
      <c r="D91" s="516"/>
      <c r="E91" s="516"/>
      <c r="F91" s="516"/>
      <c r="G91" s="148"/>
      <c r="H91"/>
      <c r="I91"/>
      <c r="J91"/>
      <c r="K91"/>
      <c r="L91"/>
      <c r="M91"/>
      <c r="N91"/>
      <c r="O91"/>
      <c r="P91"/>
      <c r="Q91"/>
      <c r="R91"/>
      <c r="S91"/>
      <c r="T91"/>
      <c r="U91" s="63"/>
    </row>
    <row r="92" spans="1:21" ht="21">
      <c r="A92" s="138" t="s">
        <v>741</v>
      </c>
      <c r="B92" s="139" t="s">
        <v>664</v>
      </c>
      <c r="C92" s="522"/>
      <c r="D92" s="517"/>
      <c r="E92" s="517"/>
      <c r="F92" s="517"/>
      <c r="G92" s="148"/>
      <c r="H92"/>
      <c r="I92"/>
      <c r="J92"/>
      <c r="K92"/>
      <c r="L92"/>
      <c r="M92"/>
      <c r="N92"/>
      <c r="O92"/>
      <c r="P92"/>
      <c r="Q92"/>
      <c r="R92"/>
      <c r="S92"/>
      <c r="T92"/>
      <c r="U92" s="63"/>
    </row>
    <row r="93" spans="1:21" ht="21">
      <c r="A93" s="138" t="s">
        <v>742</v>
      </c>
      <c r="B93" s="139" t="s">
        <v>664</v>
      </c>
      <c r="C93" s="523"/>
      <c r="D93" s="518"/>
      <c r="E93" s="518"/>
      <c r="F93" s="518"/>
      <c r="G93" s="148"/>
      <c r="H93"/>
      <c r="I93"/>
      <c r="J93"/>
      <c r="K93"/>
      <c r="L93"/>
      <c r="M93"/>
      <c r="N93"/>
      <c r="O93"/>
      <c r="P93"/>
      <c r="Q93"/>
      <c r="R93"/>
      <c r="S93"/>
      <c r="T93"/>
      <c r="U93" s="63"/>
    </row>
    <row r="94" spans="1:21" ht="12.75">
      <c r="A94" s="160" t="s">
        <v>743</v>
      </c>
      <c r="B94" s="139" t="s">
        <v>190</v>
      </c>
      <c r="C94" s="134"/>
      <c r="D94" s="148"/>
      <c r="E94" s="148"/>
      <c r="F94" s="148"/>
      <c r="G94" s="148"/>
      <c r="H94"/>
      <c r="I94"/>
      <c r="J94"/>
      <c r="K94"/>
      <c r="L94"/>
      <c r="M94"/>
      <c r="N94"/>
      <c r="O94"/>
      <c r="P94"/>
      <c r="Q94"/>
      <c r="R94"/>
      <c r="S94"/>
      <c r="T94"/>
      <c r="U94" s="63"/>
    </row>
    <row r="95" spans="1:21" ht="12.75">
      <c r="A95" s="138" t="s">
        <v>744</v>
      </c>
      <c r="B95" s="139"/>
      <c r="C95" s="134"/>
      <c r="D95" s="148"/>
      <c r="E95" s="148"/>
      <c r="F95" s="148"/>
      <c r="G95" s="148"/>
      <c r="H95"/>
      <c r="I95"/>
      <c r="J95"/>
      <c r="K95"/>
      <c r="L95"/>
      <c r="M95"/>
      <c r="N95"/>
      <c r="O95"/>
      <c r="P95"/>
      <c r="Q95"/>
      <c r="R95"/>
      <c r="S95"/>
      <c r="T95"/>
      <c r="U95" s="63"/>
    </row>
    <row r="96" spans="1:21" ht="12.75">
      <c r="A96" s="149" t="s">
        <v>745</v>
      </c>
      <c r="B96" s="139" t="s">
        <v>746</v>
      </c>
      <c r="C96" s="134"/>
      <c r="D96" s="148"/>
      <c r="E96" s="148"/>
      <c r="F96" s="148"/>
      <c r="G96" s="148"/>
      <c r="H96"/>
      <c r="I96"/>
      <c r="J96"/>
      <c r="K96"/>
      <c r="L96"/>
      <c r="M96"/>
      <c r="N96"/>
      <c r="O96"/>
      <c r="P96"/>
      <c r="Q96"/>
      <c r="R96"/>
      <c r="S96"/>
      <c r="T96"/>
      <c r="U96" s="63"/>
    </row>
    <row r="97" spans="1:21" ht="12.75">
      <c r="A97" s="149" t="s">
        <v>747</v>
      </c>
      <c r="B97" s="139" t="s">
        <v>746</v>
      </c>
      <c r="C97" s="134"/>
      <c r="D97" s="148"/>
      <c r="E97" s="148"/>
      <c r="F97" s="148"/>
      <c r="G97" s="148"/>
      <c r="H97"/>
      <c r="I97"/>
      <c r="J97"/>
      <c r="K97"/>
      <c r="L97"/>
      <c r="M97"/>
      <c r="N97"/>
      <c r="O97"/>
      <c r="P97"/>
      <c r="Q97"/>
      <c r="R97"/>
      <c r="S97"/>
      <c r="T97"/>
      <c r="U97" s="63"/>
    </row>
    <row r="98" spans="1:21" ht="12.75">
      <c r="A98" s="149" t="s">
        <v>748</v>
      </c>
      <c r="B98" s="139" t="s">
        <v>746</v>
      </c>
      <c r="C98" s="134"/>
      <c r="D98" s="148"/>
      <c r="E98" s="148"/>
      <c r="F98" s="148"/>
      <c r="G98" s="148"/>
      <c r="H98"/>
      <c r="I98"/>
      <c r="J98"/>
      <c r="K98"/>
      <c r="L98"/>
      <c r="M98"/>
      <c r="N98"/>
      <c r="O98"/>
      <c r="P98"/>
      <c r="Q98"/>
      <c r="R98"/>
      <c r="S98"/>
      <c r="T98"/>
      <c r="U98" s="63"/>
    </row>
    <row r="99" spans="1:21" ht="31.5">
      <c r="A99" s="138" t="s">
        <v>749</v>
      </c>
      <c r="B99" s="139" t="s">
        <v>191</v>
      </c>
      <c r="C99" s="521"/>
      <c r="D99" s="516"/>
      <c r="E99" s="516"/>
      <c r="F99" s="148"/>
      <c r="G99" s="148"/>
      <c r="H99"/>
      <c r="I99"/>
      <c r="J99"/>
      <c r="K99"/>
      <c r="L99"/>
      <c r="M99"/>
      <c r="N99"/>
      <c r="O99"/>
      <c r="P99"/>
      <c r="Q99"/>
      <c r="R99"/>
      <c r="S99"/>
      <c r="T99"/>
      <c r="U99" s="63"/>
    </row>
    <row r="100" spans="1:21" ht="12.75">
      <c r="A100" s="138" t="s">
        <v>192</v>
      </c>
      <c r="B100" s="139" t="s">
        <v>664</v>
      </c>
      <c r="C100" s="522"/>
      <c r="D100" s="517"/>
      <c r="E100" s="517"/>
      <c r="F100" s="148"/>
      <c r="G100" s="148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 s="63"/>
    </row>
    <row r="101" spans="1:21" ht="18">
      <c r="A101" s="159"/>
      <c r="B101" s="139" t="s">
        <v>750</v>
      </c>
      <c r="C101" s="522"/>
      <c r="D101" s="517"/>
      <c r="E101" s="517"/>
      <c r="F101" s="148"/>
      <c r="G101" s="148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63"/>
    </row>
    <row r="102" spans="1:21" ht="12.75">
      <c r="A102" s="138" t="s">
        <v>751</v>
      </c>
      <c r="B102" s="139"/>
      <c r="C102" s="522"/>
      <c r="D102" s="517"/>
      <c r="E102" s="517"/>
      <c r="F102" s="148"/>
      <c r="G102" s="148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 s="63"/>
    </row>
    <row r="103" spans="1:21" ht="12.75">
      <c r="A103" s="149" t="s">
        <v>745</v>
      </c>
      <c r="B103" s="139" t="s">
        <v>191</v>
      </c>
      <c r="C103" s="522"/>
      <c r="D103" s="517"/>
      <c r="E103" s="517"/>
      <c r="F103" s="148"/>
      <c r="G103" s="148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 s="63"/>
    </row>
    <row r="104" spans="1:21" ht="12.75">
      <c r="A104" s="149" t="s">
        <v>192</v>
      </c>
      <c r="B104" s="139" t="s">
        <v>664</v>
      </c>
      <c r="C104" s="522"/>
      <c r="D104" s="517"/>
      <c r="E104" s="517"/>
      <c r="F104" s="148"/>
      <c r="G104" s="148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 s="63"/>
    </row>
    <row r="105" spans="1:21" ht="18">
      <c r="A105" s="159"/>
      <c r="B105" s="139" t="s">
        <v>750</v>
      </c>
      <c r="C105" s="522"/>
      <c r="D105" s="517"/>
      <c r="E105" s="517"/>
      <c r="F105" s="148"/>
      <c r="G105" s="148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 s="63"/>
    </row>
    <row r="106" spans="1:21" ht="12.75">
      <c r="A106" s="149" t="s">
        <v>747</v>
      </c>
      <c r="B106" s="139" t="s">
        <v>191</v>
      </c>
      <c r="C106" s="522"/>
      <c r="D106" s="517"/>
      <c r="E106" s="517"/>
      <c r="F106" s="148"/>
      <c r="G106" s="148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 s="63"/>
    </row>
    <row r="107" spans="1:21" ht="12.75">
      <c r="A107" s="149" t="s">
        <v>192</v>
      </c>
      <c r="B107" s="139" t="s">
        <v>664</v>
      </c>
      <c r="C107" s="522"/>
      <c r="D107" s="517"/>
      <c r="E107" s="517"/>
      <c r="F107" s="148"/>
      <c r="G107" s="148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 s="63"/>
    </row>
    <row r="108" spans="1:21" ht="18">
      <c r="A108" s="159"/>
      <c r="B108" s="139" t="s">
        <v>750</v>
      </c>
      <c r="C108" s="522"/>
      <c r="D108" s="517"/>
      <c r="E108" s="517"/>
      <c r="F108" s="148"/>
      <c r="G108" s="14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s="63"/>
    </row>
    <row r="109" spans="1:21" ht="12.75">
      <c r="A109" s="149" t="s">
        <v>748</v>
      </c>
      <c r="B109" s="139" t="s">
        <v>191</v>
      </c>
      <c r="C109" s="522"/>
      <c r="D109" s="517"/>
      <c r="E109" s="517"/>
      <c r="F109" s="148"/>
      <c r="G109" s="148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s="63"/>
    </row>
    <row r="110" spans="1:21" ht="12.75">
      <c r="A110" s="149" t="s">
        <v>192</v>
      </c>
      <c r="B110" s="139" t="s">
        <v>664</v>
      </c>
      <c r="C110" s="522"/>
      <c r="D110" s="517"/>
      <c r="E110" s="517"/>
      <c r="F110" s="148"/>
      <c r="G110" s="148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 s="63"/>
    </row>
    <row r="111" spans="1:21" ht="18">
      <c r="A111" s="159"/>
      <c r="B111" s="139" t="s">
        <v>750</v>
      </c>
      <c r="C111" s="522"/>
      <c r="D111" s="517"/>
      <c r="E111" s="517"/>
      <c r="F111" s="148"/>
      <c r="G111" s="148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 s="63"/>
    </row>
    <row r="112" spans="1:21" ht="14.25">
      <c r="A112" s="158" t="s">
        <v>752</v>
      </c>
      <c r="B112" s="159"/>
      <c r="C112" s="134"/>
      <c r="D112" s="148"/>
      <c r="E112" s="148"/>
      <c r="F112" s="148"/>
      <c r="G112" s="148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 s="63"/>
    </row>
    <row r="113" spans="1:21" ht="21">
      <c r="A113" s="138" t="s">
        <v>753</v>
      </c>
      <c r="B113" s="139" t="s">
        <v>276</v>
      </c>
      <c r="C113" s="521"/>
      <c r="D113" s="148"/>
      <c r="E113" s="148"/>
      <c r="F113" s="148"/>
      <c r="G113" s="148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 s="63"/>
    </row>
    <row r="114" spans="1:21" ht="21">
      <c r="A114" s="138" t="s">
        <v>754</v>
      </c>
      <c r="B114" s="139" t="s">
        <v>664</v>
      </c>
      <c r="C114" s="522"/>
      <c r="D114" s="148"/>
      <c r="E114" s="148"/>
      <c r="F114" s="148"/>
      <c r="G114" s="148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 s="63"/>
    </row>
    <row r="115" spans="1:21" ht="21">
      <c r="A115" s="138" t="s">
        <v>755</v>
      </c>
      <c r="B115" s="139" t="s">
        <v>664</v>
      </c>
      <c r="C115" s="522"/>
      <c r="D115" s="148"/>
      <c r="E115" s="148"/>
      <c r="F115" s="148"/>
      <c r="G115" s="148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63"/>
    </row>
    <row r="116" spans="1:21" ht="12.75">
      <c r="A116" s="149" t="s">
        <v>251</v>
      </c>
      <c r="B116" s="139"/>
      <c r="C116" s="153"/>
      <c r="D116" s="147"/>
      <c r="E116" s="147"/>
      <c r="F116" s="147"/>
      <c r="G116" s="14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63"/>
    </row>
    <row r="117" spans="1:21" ht="18">
      <c r="A117" s="157" t="s">
        <v>756</v>
      </c>
      <c r="B117" s="139" t="s">
        <v>276</v>
      </c>
      <c r="C117" s="521"/>
      <c r="D117" s="148"/>
      <c r="E117" s="148"/>
      <c r="F117" s="148"/>
      <c r="G117" s="148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63"/>
    </row>
    <row r="118" spans="1:21" ht="21">
      <c r="A118" s="157" t="s">
        <v>757</v>
      </c>
      <c r="B118" s="139" t="s">
        <v>664</v>
      </c>
      <c r="C118" s="522"/>
      <c r="D118" s="148"/>
      <c r="E118" s="148"/>
      <c r="F118" s="148"/>
      <c r="G118" s="14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63"/>
    </row>
    <row r="119" spans="1:21" ht="21">
      <c r="A119" s="157" t="s">
        <v>758</v>
      </c>
      <c r="B119" s="139" t="s">
        <v>664</v>
      </c>
      <c r="C119" s="522"/>
      <c r="D119" s="148"/>
      <c r="E119" s="148"/>
      <c r="F119" s="148"/>
      <c r="G119" s="148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 s="63"/>
    </row>
    <row r="120" spans="1:21" ht="18">
      <c r="A120" s="157" t="s">
        <v>759</v>
      </c>
      <c r="B120" s="139" t="s">
        <v>276</v>
      </c>
      <c r="C120" s="521"/>
      <c r="D120" s="148"/>
      <c r="E120" s="148"/>
      <c r="F120" s="148"/>
      <c r="G120" s="148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 s="63"/>
    </row>
    <row r="121" spans="1:21" ht="21">
      <c r="A121" s="157" t="s">
        <v>760</v>
      </c>
      <c r="B121" s="139" t="s">
        <v>664</v>
      </c>
      <c r="C121" s="522"/>
      <c r="D121" s="148"/>
      <c r="E121" s="148"/>
      <c r="F121" s="148"/>
      <c r="G121" s="148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 s="63"/>
    </row>
    <row r="122" spans="1:21" ht="21">
      <c r="A122" s="157" t="s">
        <v>761</v>
      </c>
      <c r="B122" s="139" t="s">
        <v>664</v>
      </c>
      <c r="C122" s="522"/>
      <c r="D122" s="148"/>
      <c r="E122" s="148"/>
      <c r="F122" s="148"/>
      <c r="G122" s="148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 s="63"/>
    </row>
    <row r="123" spans="1:21" ht="21">
      <c r="A123" s="160" t="s">
        <v>762</v>
      </c>
      <c r="B123" s="139"/>
      <c r="C123" s="134"/>
      <c r="D123" s="516"/>
      <c r="E123" s="516"/>
      <c r="F123" s="516"/>
      <c r="G123" s="5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 s="63"/>
    </row>
    <row r="124" spans="1:21" ht="21">
      <c r="A124" s="149" t="s">
        <v>763</v>
      </c>
      <c r="B124" s="139" t="s">
        <v>676</v>
      </c>
      <c r="C124" s="134"/>
      <c r="D124" s="517"/>
      <c r="E124" s="517"/>
      <c r="F124" s="517"/>
      <c r="G124" s="517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63"/>
    </row>
    <row r="125" spans="1:21" ht="21">
      <c r="A125" s="149" t="s">
        <v>764</v>
      </c>
      <c r="B125" s="139" t="s">
        <v>664</v>
      </c>
      <c r="C125" s="134"/>
      <c r="D125" s="517"/>
      <c r="E125" s="517"/>
      <c r="F125" s="517"/>
      <c r="G125" s="517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63"/>
    </row>
    <row r="126" spans="1:21" ht="31.5">
      <c r="A126" s="149" t="s">
        <v>765</v>
      </c>
      <c r="B126" s="139" t="s">
        <v>676</v>
      </c>
      <c r="C126" s="134"/>
      <c r="D126" s="517"/>
      <c r="E126" s="517"/>
      <c r="F126" s="517"/>
      <c r="G126" s="517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 s="63"/>
    </row>
    <row r="127" spans="1:21" ht="31.5">
      <c r="A127" s="149" t="s">
        <v>766</v>
      </c>
      <c r="B127" s="139" t="s">
        <v>664</v>
      </c>
      <c r="C127" s="134"/>
      <c r="D127" s="517"/>
      <c r="E127" s="517"/>
      <c r="F127" s="517"/>
      <c r="G127" s="51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 s="63"/>
    </row>
    <row r="128" spans="1:21" ht="18">
      <c r="A128" s="149" t="s">
        <v>767</v>
      </c>
      <c r="B128" s="139" t="s">
        <v>676</v>
      </c>
      <c r="C128" s="134"/>
      <c r="D128" s="517"/>
      <c r="E128" s="517"/>
      <c r="F128" s="517"/>
      <c r="G128" s="517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 s="63"/>
    </row>
    <row r="129" spans="1:21" ht="21">
      <c r="A129" s="149" t="s">
        <v>768</v>
      </c>
      <c r="B129" s="139" t="s">
        <v>664</v>
      </c>
      <c r="C129" s="134"/>
      <c r="D129" s="518"/>
      <c r="E129" s="518"/>
      <c r="F129" s="518"/>
      <c r="G129" s="518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 s="63"/>
    </row>
    <row r="130" spans="1:21" ht="14.25">
      <c r="A130" s="158" t="s">
        <v>769</v>
      </c>
      <c r="B130" s="159"/>
      <c r="C130" s="134"/>
      <c r="D130" s="148"/>
      <c r="E130" s="148"/>
      <c r="F130" s="148"/>
      <c r="G130" s="148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 s="63"/>
    </row>
    <row r="131" spans="1:21" ht="21">
      <c r="A131" s="138" t="s">
        <v>281</v>
      </c>
      <c r="B131" s="139" t="s">
        <v>313</v>
      </c>
      <c r="C131" s="134"/>
      <c r="D131" s="516"/>
      <c r="E131" s="516"/>
      <c r="F131" s="516"/>
      <c r="G131" s="148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 s="63"/>
    </row>
    <row r="132" spans="1:21" ht="21">
      <c r="A132" s="138" t="s">
        <v>289</v>
      </c>
      <c r="B132" s="139" t="s">
        <v>313</v>
      </c>
      <c r="C132" s="134"/>
      <c r="D132" s="517"/>
      <c r="E132" s="517"/>
      <c r="F132" s="517"/>
      <c r="G132" s="148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 s="63"/>
    </row>
    <row r="133" spans="1:21" ht="21">
      <c r="A133" s="138" t="s">
        <v>770</v>
      </c>
      <c r="B133" s="139" t="s">
        <v>771</v>
      </c>
      <c r="C133" s="134"/>
      <c r="D133" s="517"/>
      <c r="E133" s="517"/>
      <c r="F133" s="517"/>
      <c r="G133" s="148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 s="63"/>
    </row>
    <row r="134" spans="1:21" ht="31.5">
      <c r="A134" s="138" t="s">
        <v>772</v>
      </c>
      <c r="B134" s="139" t="s">
        <v>279</v>
      </c>
      <c r="C134" s="134"/>
      <c r="D134" s="518"/>
      <c r="E134" s="518"/>
      <c r="F134" s="518"/>
      <c r="G134" s="148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 s="63"/>
    </row>
    <row r="135" spans="1:21" ht="21">
      <c r="A135" s="138" t="s">
        <v>773</v>
      </c>
      <c r="B135" s="139" t="s">
        <v>774</v>
      </c>
      <c r="C135" s="134"/>
      <c r="D135" s="516"/>
      <c r="E135" s="516"/>
      <c r="F135" s="148"/>
      <c r="G135" s="148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 s="63"/>
    </row>
    <row r="136" spans="1:21" ht="21">
      <c r="A136" s="138" t="s">
        <v>775</v>
      </c>
      <c r="B136" s="139" t="s">
        <v>774</v>
      </c>
      <c r="C136" s="134"/>
      <c r="D136" s="518"/>
      <c r="E136" s="518"/>
      <c r="F136" s="148"/>
      <c r="G136" s="148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63"/>
    </row>
    <row r="137" spans="1:21" ht="42.75">
      <c r="A137" s="158" t="s">
        <v>776</v>
      </c>
      <c r="B137" s="159"/>
      <c r="C137" s="134"/>
      <c r="D137" s="148"/>
      <c r="E137" s="148"/>
      <c r="F137" s="148"/>
      <c r="G137" s="148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 s="63"/>
    </row>
    <row r="138" spans="1:21" ht="12.75">
      <c r="A138" s="138" t="s">
        <v>631</v>
      </c>
      <c r="B138" s="139" t="s">
        <v>777</v>
      </c>
      <c r="C138" s="134"/>
      <c r="D138" s="516"/>
      <c r="E138" s="516"/>
      <c r="F138" s="516"/>
      <c r="G138" s="14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63"/>
    </row>
    <row r="139" spans="1:21" ht="12.75">
      <c r="A139" s="138" t="s">
        <v>632</v>
      </c>
      <c r="B139" s="139" t="s">
        <v>777</v>
      </c>
      <c r="C139" s="134"/>
      <c r="D139" s="517"/>
      <c r="E139" s="517"/>
      <c r="F139" s="517"/>
      <c r="G139" s="148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63"/>
    </row>
    <row r="140" spans="1:21" ht="12.75">
      <c r="A140" s="138" t="s">
        <v>633</v>
      </c>
      <c r="B140" s="139" t="s">
        <v>777</v>
      </c>
      <c r="C140" s="134"/>
      <c r="D140" s="517"/>
      <c r="E140" s="517"/>
      <c r="F140" s="517"/>
      <c r="G140" s="148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63"/>
    </row>
    <row r="141" spans="1:21" ht="12.75">
      <c r="A141" s="138" t="s">
        <v>634</v>
      </c>
      <c r="B141" s="139" t="s">
        <v>777</v>
      </c>
      <c r="C141" s="134"/>
      <c r="D141" s="517"/>
      <c r="E141" s="517"/>
      <c r="F141" s="517"/>
      <c r="G141" s="148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63"/>
    </row>
    <row r="142" spans="1:21" ht="12.75">
      <c r="A142" s="138" t="s">
        <v>316</v>
      </c>
      <c r="B142" s="139" t="s">
        <v>777</v>
      </c>
      <c r="C142" s="134"/>
      <c r="D142" s="518"/>
      <c r="E142" s="518"/>
      <c r="F142" s="517"/>
      <c r="G142" s="148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 s="63"/>
    </row>
    <row r="143" spans="1:21" ht="12.75">
      <c r="A143" s="138" t="s">
        <v>635</v>
      </c>
      <c r="B143" s="139" t="s">
        <v>777</v>
      </c>
      <c r="C143" s="134"/>
      <c r="D143" s="516"/>
      <c r="E143" s="516"/>
      <c r="F143" s="517"/>
      <c r="G143" s="148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 s="63"/>
    </row>
    <row r="144" spans="1:21" ht="12.75">
      <c r="A144" s="138" t="s">
        <v>636</v>
      </c>
      <c r="B144" s="139" t="s">
        <v>777</v>
      </c>
      <c r="C144" s="134"/>
      <c r="D144" s="517"/>
      <c r="E144" s="517"/>
      <c r="F144" s="517"/>
      <c r="G144" s="148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 s="63"/>
    </row>
    <row r="145" spans="1:21" ht="12.75">
      <c r="A145" s="138" t="s">
        <v>312</v>
      </c>
      <c r="B145" s="139" t="s">
        <v>778</v>
      </c>
      <c r="C145" s="134"/>
      <c r="D145" s="518"/>
      <c r="E145" s="518"/>
      <c r="F145" s="518"/>
      <c r="G145" s="148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 s="63"/>
    </row>
    <row r="146" spans="1:21" ht="12.75">
      <c r="A146" s="138" t="s">
        <v>299</v>
      </c>
      <c r="B146" s="139" t="s">
        <v>779</v>
      </c>
      <c r="C146" s="134"/>
      <c r="D146" s="527"/>
      <c r="E146" s="516"/>
      <c r="F146" s="148"/>
      <c r="G146" s="148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63"/>
    </row>
    <row r="147" spans="1:21" ht="12.75">
      <c r="A147" s="138" t="s">
        <v>293</v>
      </c>
      <c r="B147" s="139" t="s">
        <v>777</v>
      </c>
      <c r="C147" s="134"/>
      <c r="D147" s="528"/>
      <c r="E147" s="517"/>
      <c r="F147" s="148"/>
      <c r="G147" s="148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63"/>
    </row>
    <row r="148" spans="1:21" ht="12.75">
      <c r="A148" s="138" t="s">
        <v>432</v>
      </c>
      <c r="B148" s="139" t="s">
        <v>777</v>
      </c>
      <c r="C148" s="134"/>
      <c r="D148" s="528"/>
      <c r="E148" s="517"/>
      <c r="F148" s="148"/>
      <c r="G148" s="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 s="63"/>
    </row>
    <row r="149" spans="1:21" ht="12.75">
      <c r="A149" s="138" t="s">
        <v>365</v>
      </c>
      <c r="B149" s="139" t="s">
        <v>780</v>
      </c>
      <c r="C149" s="134"/>
      <c r="D149" s="528"/>
      <c r="E149" s="517"/>
      <c r="F149" s="148"/>
      <c r="G149" s="148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 s="63"/>
    </row>
    <row r="150" spans="1:21" ht="12.75">
      <c r="A150" s="138" t="s">
        <v>311</v>
      </c>
      <c r="B150" s="139" t="s">
        <v>777</v>
      </c>
      <c r="C150" s="134"/>
      <c r="D150" s="528"/>
      <c r="E150" s="517"/>
      <c r="F150" s="148"/>
      <c r="G150" s="148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 s="63"/>
    </row>
    <row r="151" spans="1:21" ht="21.75">
      <c r="A151" s="162" t="s">
        <v>286</v>
      </c>
      <c r="B151" s="139" t="s">
        <v>777</v>
      </c>
      <c r="C151" s="134"/>
      <c r="D151" s="528"/>
      <c r="E151" s="517"/>
      <c r="F151" s="148"/>
      <c r="G151" s="148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 s="63"/>
    </row>
    <row r="152" spans="1:21" ht="12.75">
      <c r="A152" s="138" t="s">
        <v>781</v>
      </c>
      <c r="B152" s="139" t="s">
        <v>777</v>
      </c>
      <c r="C152" s="134"/>
      <c r="D152" s="528"/>
      <c r="E152" s="517"/>
      <c r="F152" s="148"/>
      <c r="G152" s="148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 s="63"/>
    </row>
    <row r="153" spans="1:21" ht="12.75">
      <c r="A153" s="138" t="s">
        <v>782</v>
      </c>
      <c r="B153" s="139" t="s">
        <v>777</v>
      </c>
      <c r="C153" s="134"/>
      <c r="D153" s="528"/>
      <c r="E153" s="517"/>
      <c r="F153" s="148"/>
      <c r="G153" s="148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 s="63"/>
    </row>
    <row r="154" spans="1:21" ht="21">
      <c r="A154" s="138" t="s">
        <v>434</v>
      </c>
      <c r="B154" s="139" t="s">
        <v>777</v>
      </c>
      <c r="C154" s="134"/>
      <c r="D154" s="528"/>
      <c r="E154" s="517"/>
      <c r="F154" s="148"/>
      <c r="G154" s="148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 s="63"/>
    </row>
    <row r="155" spans="1:21" ht="21">
      <c r="A155" s="138" t="s">
        <v>783</v>
      </c>
      <c r="B155" s="139" t="s">
        <v>784</v>
      </c>
      <c r="C155" s="134"/>
      <c r="D155" s="528"/>
      <c r="E155" s="517"/>
      <c r="F155" s="148"/>
      <c r="G155" s="148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63"/>
    </row>
    <row r="156" spans="1:21" ht="12.75">
      <c r="A156" s="149" t="s">
        <v>785</v>
      </c>
      <c r="B156" s="139" t="s">
        <v>784</v>
      </c>
      <c r="C156" s="134"/>
      <c r="D156" s="528"/>
      <c r="E156" s="517"/>
      <c r="F156" s="148"/>
      <c r="G156" s="148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63"/>
    </row>
    <row r="157" spans="1:21" ht="12.75">
      <c r="A157" s="138" t="s">
        <v>786</v>
      </c>
      <c r="B157" s="139" t="s">
        <v>784</v>
      </c>
      <c r="C157" s="134"/>
      <c r="D157" s="528"/>
      <c r="E157" s="517"/>
      <c r="F157" s="148"/>
      <c r="G157" s="148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63"/>
    </row>
    <row r="158" spans="1:21" ht="12.75">
      <c r="A158" s="138" t="s">
        <v>427</v>
      </c>
      <c r="B158" s="139" t="s">
        <v>784</v>
      </c>
      <c r="C158" s="134"/>
      <c r="D158" s="528"/>
      <c r="E158" s="517"/>
      <c r="F158" s="148"/>
      <c r="G158" s="14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63"/>
    </row>
    <row r="159" spans="1:21" ht="12.75">
      <c r="A159" s="138" t="s">
        <v>428</v>
      </c>
      <c r="B159" s="139" t="s">
        <v>784</v>
      </c>
      <c r="C159" s="134"/>
      <c r="D159" s="528"/>
      <c r="E159" s="517"/>
      <c r="F159" s="148"/>
      <c r="G159" s="148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63"/>
    </row>
    <row r="160" spans="1:21" ht="12.75">
      <c r="A160" s="138" t="s">
        <v>429</v>
      </c>
      <c r="B160" s="139" t="s">
        <v>784</v>
      </c>
      <c r="C160" s="134"/>
      <c r="D160" s="528"/>
      <c r="E160" s="517"/>
      <c r="F160" s="148"/>
      <c r="G160" s="148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 s="63"/>
    </row>
    <row r="161" spans="1:21" ht="12.75">
      <c r="A161" s="138" t="s">
        <v>430</v>
      </c>
      <c r="B161" s="139" t="s">
        <v>784</v>
      </c>
      <c r="C161" s="134"/>
      <c r="D161" s="528"/>
      <c r="E161" s="517"/>
      <c r="F161" s="148"/>
      <c r="G161" s="148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 s="63"/>
    </row>
    <row r="162" spans="1:21" ht="21">
      <c r="A162" s="138" t="s">
        <v>787</v>
      </c>
      <c r="B162" s="139" t="s">
        <v>784</v>
      </c>
      <c r="C162" s="134"/>
      <c r="D162" s="528"/>
      <c r="E162" s="517"/>
      <c r="F162" s="148"/>
      <c r="G162" s="148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 s="63"/>
    </row>
    <row r="163" spans="1:21" ht="21">
      <c r="A163" s="138" t="s">
        <v>788</v>
      </c>
      <c r="B163" s="139" t="s">
        <v>784</v>
      </c>
      <c r="C163" s="134"/>
      <c r="D163" s="528"/>
      <c r="E163" s="517"/>
      <c r="F163" s="148"/>
      <c r="G163" s="148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 s="63"/>
    </row>
    <row r="164" spans="1:21" ht="21">
      <c r="A164" s="138" t="s">
        <v>431</v>
      </c>
      <c r="B164" s="139" t="s">
        <v>784</v>
      </c>
      <c r="C164" s="134"/>
      <c r="D164" s="528"/>
      <c r="E164" s="517"/>
      <c r="F164" s="148"/>
      <c r="G164" s="148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 s="63"/>
    </row>
    <row r="165" spans="1:21" ht="12.75">
      <c r="A165" s="138" t="s">
        <v>196</v>
      </c>
      <c r="B165" s="139" t="s">
        <v>784</v>
      </c>
      <c r="C165" s="134"/>
      <c r="D165" s="528"/>
      <c r="E165" s="517"/>
      <c r="F165" s="148"/>
      <c r="G165" s="148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 s="63"/>
    </row>
    <row r="166" spans="1:21" ht="12.75">
      <c r="A166" s="138" t="s">
        <v>285</v>
      </c>
      <c r="B166" s="139" t="s">
        <v>789</v>
      </c>
      <c r="C166" s="134"/>
      <c r="D166" s="528"/>
      <c r="E166" s="517"/>
      <c r="F166" s="148"/>
      <c r="G166" s="148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 s="63"/>
    </row>
    <row r="167" spans="1:21" ht="12.75">
      <c r="A167" s="138" t="s">
        <v>309</v>
      </c>
      <c r="B167" s="139" t="s">
        <v>790</v>
      </c>
      <c r="C167" s="134"/>
      <c r="D167" s="528"/>
      <c r="E167" s="517"/>
      <c r="F167" s="148"/>
      <c r="G167" s="148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 s="63"/>
    </row>
    <row r="168" spans="1:21" ht="12.75">
      <c r="A168" s="138" t="s">
        <v>310</v>
      </c>
      <c r="B168" s="139" t="s">
        <v>791</v>
      </c>
      <c r="C168" s="134"/>
      <c r="D168" s="528"/>
      <c r="E168" s="517"/>
      <c r="F168" s="148"/>
      <c r="G168" s="14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 s="63"/>
    </row>
    <row r="169" spans="1:21" ht="12.75">
      <c r="A169" s="138" t="s">
        <v>300</v>
      </c>
      <c r="B169" s="139" t="s">
        <v>792</v>
      </c>
      <c r="C169" s="134"/>
      <c r="D169" s="528"/>
      <c r="E169" s="517"/>
      <c r="F169" s="148"/>
      <c r="G169" s="148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 s="63"/>
    </row>
    <row r="170" spans="1:21" ht="12.75">
      <c r="A170" s="138" t="s">
        <v>301</v>
      </c>
      <c r="B170" s="139" t="s">
        <v>777</v>
      </c>
      <c r="C170" s="134"/>
      <c r="D170" s="528"/>
      <c r="E170" s="517"/>
      <c r="F170" s="148"/>
      <c r="G170" s="148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 s="63"/>
    </row>
    <row r="171" spans="1:21" ht="12.75">
      <c r="A171" s="138" t="s">
        <v>290</v>
      </c>
      <c r="B171" s="139" t="s">
        <v>777</v>
      </c>
      <c r="C171" s="134"/>
      <c r="D171" s="528"/>
      <c r="E171" s="517"/>
      <c r="F171" s="148"/>
      <c r="G171" s="148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 s="63"/>
    </row>
    <row r="172" spans="1:21" ht="12.75">
      <c r="A172" s="138" t="s">
        <v>291</v>
      </c>
      <c r="B172" s="139" t="s">
        <v>777</v>
      </c>
      <c r="C172" s="134"/>
      <c r="D172" s="528"/>
      <c r="E172" s="517"/>
      <c r="F172" s="148"/>
      <c r="G172" s="148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63"/>
    </row>
    <row r="173" spans="1:21" ht="12.75">
      <c r="A173" s="138" t="s">
        <v>793</v>
      </c>
      <c r="B173" s="139" t="s">
        <v>777</v>
      </c>
      <c r="C173" s="134"/>
      <c r="D173" s="528"/>
      <c r="E173" s="517"/>
      <c r="F173" s="148"/>
      <c r="G173" s="148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63"/>
    </row>
    <row r="174" spans="1:21" ht="12.75">
      <c r="A174" s="138" t="s">
        <v>292</v>
      </c>
      <c r="B174" s="139" t="s">
        <v>777</v>
      </c>
      <c r="C174" s="134"/>
      <c r="D174" s="528"/>
      <c r="E174" s="517"/>
      <c r="F174" s="148"/>
      <c r="G174" s="148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 s="63"/>
    </row>
    <row r="175" spans="1:21" ht="21">
      <c r="A175" s="138" t="s">
        <v>206</v>
      </c>
      <c r="B175" s="139" t="s">
        <v>777</v>
      </c>
      <c r="C175" s="134"/>
      <c r="D175" s="528"/>
      <c r="E175" s="517"/>
      <c r="F175" s="148"/>
      <c r="G175" s="148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63"/>
    </row>
    <row r="176" spans="1:21" ht="12.75">
      <c r="A176" s="138" t="s">
        <v>295</v>
      </c>
      <c r="B176" s="139" t="s">
        <v>205</v>
      </c>
      <c r="C176" s="134"/>
      <c r="D176" s="528"/>
      <c r="E176" s="517"/>
      <c r="F176" s="148"/>
      <c r="G176" s="148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 s="63"/>
    </row>
    <row r="177" spans="1:21" ht="21">
      <c r="A177" s="138" t="s">
        <v>794</v>
      </c>
      <c r="B177" s="139" t="s">
        <v>790</v>
      </c>
      <c r="C177" s="134"/>
      <c r="D177" s="528"/>
      <c r="E177" s="517"/>
      <c r="F177" s="148"/>
      <c r="G177" s="148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 s="63"/>
    </row>
    <row r="178" spans="1:21" s="42" customFormat="1" ht="12.75">
      <c r="A178" s="138" t="s">
        <v>795</v>
      </c>
      <c r="B178" s="139" t="s">
        <v>790</v>
      </c>
      <c r="C178" s="134"/>
      <c r="D178" s="528"/>
      <c r="E178" s="517"/>
      <c r="F178" s="148"/>
      <c r="G178" s="14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63"/>
    </row>
    <row r="179" spans="1:21" s="42" customFormat="1" ht="12.75">
      <c r="A179" s="138" t="s">
        <v>302</v>
      </c>
      <c r="B179" s="139" t="s">
        <v>777</v>
      </c>
      <c r="C179" s="134"/>
      <c r="D179" s="528"/>
      <c r="E179" s="517"/>
      <c r="F179" s="148"/>
      <c r="G179" s="148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63"/>
    </row>
    <row r="180" spans="1:21" s="42" customFormat="1" ht="12.75">
      <c r="A180" s="138" t="s">
        <v>796</v>
      </c>
      <c r="B180" s="139" t="s">
        <v>797</v>
      </c>
      <c r="C180" s="514"/>
      <c r="D180" s="528"/>
      <c r="E180" s="517"/>
      <c r="F180" s="148"/>
      <c r="G180" s="148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63"/>
    </row>
    <row r="181" spans="1:21" s="42" customFormat="1" ht="21">
      <c r="A181" s="138" t="s">
        <v>798</v>
      </c>
      <c r="B181" s="139" t="s">
        <v>797</v>
      </c>
      <c r="C181" s="514"/>
      <c r="D181" s="528"/>
      <c r="E181" s="517"/>
      <c r="F181" s="148"/>
      <c r="G181" s="148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 s="63"/>
    </row>
    <row r="182" spans="1:21" s="42" customFormat="1" ht="21">
      <c r="A182" s="138" t="s">
        <v>799</v>
      </c>
      <c r="B182" s="139" t="s">
        <v>797</v>
      </c>
      <c r="C182" s="514"/>
      <c r="D182" s="528"/>
      <c r="E182" s="517"/>
      <c r="F182" s="148"/>
      <c r="G182" s="148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 s="63"/>
    </row>
    <row r="183" spans="1:21" ht="12.75">
      <c r="A183" s="138" t="s">
        <v>804</v>
      </c>
      <c r="B183" s="139" t="s">
        <v>797</v>
      </c>
      <c r="C183" s="515"/>
      <c r="D183" s="528"/>
      <c r="E183" s="517"/>
      <c r="F183" s="148"/>
      <c r="G183" s="148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 s="63"/>
    </row>
    <row r="184" spans="1:21" ht="12.75">
      <c r="A184" s="138" t="s">
        <v>283</v>
      </c>
      <c r="B184" s="139" t="s">
        <v>777</v>
      </c>
      <c r="C184" s="134"/>
      <c r="D184" s="528"/>
      <c r="E184" s="517"/>
      <c r="F184" s="148"/>
      <c r="G184" s="148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 s="63"/>
    </row>
    <row r="185" spans="1:21" ht="12.75">
      <c r="A185" s="138" t="s">
        <v>294</v>
      </c>
      <c r="B185" s="139" t="s">
        <v>777</v>
      </c>
      <c r="C185" s="134"/>
      <c r="D185" s="528"/>
      <c r="E185" s="517"/>
      <c r="F185" s="148"/>
      <c r="G185" s="148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 s="63"/>
    </row>
    <row r="186" spans="1:21" ht="12.75">
      <c r="A186" s="138" t="s">
        <v>296</v>
      </c>
      <c r="B186" s="139" t="s">
        <v>297</v>
      </c>
      <c r="C186" s="134"/>
      <c r="D186" s="528"/>
      <c r="E186" s="517"/>
      <c r="F186" s="148"/>
      <c r="G186" s="148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 s="63"/>
    </row>
    <row r="187" spans="1:21" ht="12.75">
      <c r="A187" s="138" t="s">
        <v>298</v>
      </c>
      <c r="B187" s="139" t="s">
        <v>790</v>
      </c>
      <c r="C187" s="134"/>
      <c r="D187" s="528"/>
      <c r="E187" s="517"/>
      <c r="F187" s="148"/>
      <c r="G187" s="148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 s="63"/>
    </row>
    <row r="188" spans="1:21" ht="12.75">
      <c r="A188" s="138" t="s">
        <v>304</v>
      </c>
      <c r="B188" s="139" t="s">
        <v>790</v>
      </c>
      <c r="C188" s="134"/>
      <c r="D188" s="528"/>
      <c r="E188" s="517"/>
      <c r="F188" s="148"/>
      <c r="G188" s="14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 s="63"/>
    </row>
    <row r="189" spans="1:21" ht="12.75">
      <c r="A189" s="138" t="s">
        <v>305</v>
      </c>
      <c r="B189" s="139" t="s">
        <v>790</v>
      </c>
      <c r="C189" s="134"/>
      <c r="D189" s="528"/>
      <c r="E189" s="517"/>
      <c r="F189" s="148"/>
      <c r="G189" s="148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 s="63"/>
    </row>
    <row r="190" spans="1:21" ht="12.75">
      <c r="A190" s="138" t="s">
        <v>306</v>
      </c>
      <c r="B190" s="139" t="s">
        <v>790</v>
      </c>
      <c r="C190" s="134"/>
      <c r="D190" s="528"/>
      <c r="E190" s="517"/>
      <c r="F190" s="148"/>
      <c r="G190" s="148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 s="63"/>
    </row>
    <row r="191" spans="1:21" ht="12.75">
      <c r="A191" s="138" t="s">
        <v>307</v>
      </c>
      <c r="B191" s="139" t="s">
        <v>790</v>
      </c>
      <c r="C191" s="134"/>
      <c r="D191" s="528"/>
      <c r="E191" s="517"/>
      <c r="F191" s="148"/>
      <c r="G191" s="148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 s="63"/>
    </row>
    <row r="192" spans="1:21" ht="21">
      <c r="A192" s="138" t="s">
        <v>197</v>
      </c>
      <c r="B192" s="139" t="s">
        <v>193</v>
      </c>
      <c r="C192" s="134"/>
      <c r="D192" s="528"/>
      <c r="E192" s="517"/>
      <c r="F192" s="148"/>
      <c r="G192" s="148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 s="63"/>
    </row>
    <row r="193" spans="1:21" ht="12.75">
      <c r="A193" s="138" t="s">
        <v>284</v>
      </c>
      <c r="B193" s="139" t="s">
        <v>297</v>
      </c>
      <c r="C193" s="134"/>
      <c r="D193" s="528"/>
      <c r="E193" s="517"/>
      <c r="F193" s="148"/>
      <c r="G193" s="148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 s="63"/>
    </row>
    <row r="194" spans="1:21" ht="12.75">
      <c r="A194" s="138" t="s">
        <v>805</v>
      </c>
      <c r="B194" s="139" t="s">
        <v>790</v>
      </c>
      <c r="C194" s="134"/>
      <c r="D194" s="528"/>
      <c r="E194" s="517"/>
      <c r="F194" s="148"/>
      <c r="G194" s="148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 s="63"/>
    </row>
    <row r="195" spans="1:21" ht="12.75">
      <c r="A195" s="138" t="s">
        <v>426</v>
      </c>
      <c r="B195" s="139" t="s">
        <v>297</v>
      </c>
      <c r="C195" s="134"/>
      <c r="D195" s="528"/>
      <c r="E195" s="517"/>
      <c r="F195" s="148"/>
      <c r="G195" s="148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 s="63"/>
    </row>
    <row r="196" spans="1:21" ht="12.75">
      <c r="A196" s="138" t="s">
        <v>433</v>
      </c>
      <c r="B196" s="139" t="s">
        <v>806</v>
      </c>
      <c r="C196" s="134"/>
      <c r="D196" s="528"/>
      <c r="E196" s="517"/>
      <c r="F196" s="148"/>
      <c r="G196" s="148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 s="63"/>
    </row>
    <row r="197" spans="1:21" ht="12.75">
      <c r="A197" s="138" t="s">
        <v>807</v>
      </c>
      <c r="B197" s="139"/>
      <c r="C197" s="134"/>
      <c r="D197" s="528"/>
      <c r="E197" s="517"/>
      <c r="F197" s="148"/>
      <c r="G197" s="148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 s="63"/>
    </row>
    <row r="198" spans="1:21" ht="12.75">
      <c r="A198" s="149" t="s">
        <v>808</v>
      </c>
      <c r="B198" s="139" t="s">
        <v>806</v>
      </c>
      <c r="C198" s="134"/>
      <c r="D198" s="528"/>
      <c r="E198" s="517"/>
      <c r="F198" s="148"/>
      <c r="G198" s="14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 s="63"/>
    </row>
    <row r="199" spans="1:21" ht="12.75">
      <c r="A199" s="149" t="s">
        <v>809</v>
      </c>
      <c r="B199" s="139" t="s">
        <v>806</v>
      </c>
      <c r="C199" s="134"/>
      <c r="D199" s="528"/>
      <c r="E199" s="517"/>
      <c r="F199" s="148"/>
      <c r="G199" s="148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63"/>
    </row>
    <row r="200" spans="1:21" ht="12.75">
      <c r="A200" s="149" t="s">
        <v>810</v>
      </c>
      <c r="B200" s="139" t="s">
        <v>806</v>
      </c>
      <c r="C200" s="134"/>
      <c r="D200" s="529"/>
      <c r="E200" s="518"/>
      <c r="F200" s="148"/>
      <c r="G200" s="148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63"/>
    </row>
    <row r="201" spans="1:21" ht="12.75">
      <c r="A201" s="164"/>
      <c r="B201" s="164"/>
      <c r="C201" s="165"/>
      <c r="D201" s="166"/>
      <c r="E201" s="166"/>
      <c r="F201" s="166"/>
      <c r="G201" s="16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63"/>
    </row>
    <row r="202" spans="1:21" ht="14.25">
      <c r="A202" s="167" t="s">
        <v>811</v>
      </c>
      <c r="B202" s="159"/>
      <c r="C202" s="134"/>
      <c r="D202" s="148"/>
      <c r="E202" s="148"/>
      <c r="F202" s="148"/>
      <c r="G202" s="148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63"/>
    </row>
    <row r="203" spans="1:21" ht="18">
      <c r="A203" s="138" t="s">
        <v>812</v>
      </c>
      <c r="B203" s="139" t="s">
        <v>813</v>
      </c>
      <c r="C203" s="134"/>
      <c r="D203" s="147"/>
      <c r="E203" s="147"/>
      <c r="F203" s="147"/>
      <c r="G203" s="148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 s="63"/>
    </row>
    <row r="204" spans="1:21" ht="12.75">
      <c r="A204" s="138" t="s">
        <v>814</v>
      </c>
      <c r="B204" s="139" t="s">
        <v>664</v>
      </c>
      <c r="C204" s="134"/>
      <c r="D204" s="147"/>
      <c r="E204" s="147"/>
      <c r="F204" s="147"/>
      <c r="G204" s="14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63"/>
    </row>
    <row r="205" spans="1:21" ht="18">
      <c r="A205" s="138" t="s">
        <v>815</v>
      </c>
      <c r="B205" s="139" t="s">
        <v>676</v>
      </c>
      <c r="C205" s="134"/>
      <c r="D205" s="516"/>
      <c r="E205" s="516"/>
      <c r="F205" s="516"/>
      <c r="G205" s="5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63"/>
    </row>
    <row r="206" spans="1:21" ht="21">
      <c r="A206" s="138" t="s">
        <v>816</v>
      </c>
      <c r="B206" s="139" t="s">
        <v>664</v>
      </c>
      <c r="C206" s="134"/>
      <c r="D206" s="518"/>
      <c r="E206" s="518"/>
      <c r="F206" s="518"/>
      <c r="G206" s="518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63"/>
    </row>
    <row r="207" spans="1:21" ht="12.75">
      <c r="A207" s="138" t="s">
        <v>817</v>
      </c>
      <c r="B207" s="139" t="s">
        <v>664</v>
      </c>
      <c r="C207" s="134"/>
      <c r="D207" s="148"/>
      <c r="E207" s="148"/>
      <c r="F207" s="148"/>
      <c r="G207" s="148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63"/>
    </row>
    <row r="208" spans="1:21" ht="18">
      <c r="A208" s="138" t="s">
        <v>363</v>
      </c>
      <c r="B208" s="139" t="s">
        <v>676</v>
      </c>
      <c r="C208" s="134"/>
      <c r="D208" s="516"/>
      <c r="E208" s="516"/>
      <c r="F208" s="516"/>
      <c r="G208" s="5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63"/>
    </row>
    <row r="209" spans="1:21" ht="21">
      <c r="A209" s="138" t="s">
        <v>818</v>
      </c>
      <c r="B209" s="139" t="s">
        <v>664</v>
      </c>
      <c r="C209" s="134"/>
      <c r="D209" s="518"/>
      <c r="E209" s="518"/>
      <c r="F209" s="518"/>
      <c r="G209" s="518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63"/>
    </row>
    <row r="210" spans="1:21" ht="21">
      <c r="A210" s="138" t="s">
        <v>819</v>
      </c>
      <c r="B210" s="139" t="s">
        <v>664</v>
      </c>
      <c r="C210" s="134"/>
      <c r="D210" s="148"/>
      <c r="E210" s="148"/>
      <c r="F210" s="148"/>
      <c r="G210" s="148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63"/>
    </row>
    <row r="211" spans="1:21" ht="18">
      <c r="A211" s="138" t="s">
        <v>364</v>
      </c>
      <c r="B211" s="139" t="s">
        <v>676</v>
      </c>
      <c r="C211" s="524"/>
      <c r="D211" s="148"/>
      <c r="E211" s="148"/>
      <c r="F211" s="148"/>
      <c r="G211" s="148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63"/>
    </row>
    <row r="212" spans="1:21" ht="18">
      <c r="A212" s="138"/>
      <c r="B212" s="139" t="s">
        <v>677</v>
      </c>
      <c r="C212" s="525"/>
      <c r="D212" s="148"/>
      <c r="E212" s="148"/>
      <c r="F212" s="148"/>
      <c r="G212" s="148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63"/>
    </row>
    <row r="213" spans="1:21" ht="12.75">
      <c r="A213" s="138" t="s">
        <v>820</v>
      </c>
      <c r="B213" s="139" t="s">
        <v>664</v>
      </c>
      <c r="C213" s="525"/>
      <c r="D213" s="168"/>
      <c r="E213" s="168"/>
      <c r="F213" s="168"/>
      <c r="G213" s="168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63"/>
    </row>
    <row r="214" spans="1:21" ht="12.75">
      <c r="A214" s="138" t="s">
        <v>251</v>
      </c>
      <c r="B214" s="139"/>
      <c r="C214" s="525"/>
      <c r="D214" s="168"/>
      <c r="E214" s="168"/>
      <c r="F214" s="168"/>
      <c r="G214" s="168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63"/>
    </row>
    <row r="215" spans="1:21" ht="18">
      <c r="A215" s="157" t="s">
        <v>399</v>
      </c>
      <c r="B215" s="139" t="s">
        <v>676</v>
      </c>
      <c r="C215" s="525"/>
      <c r="D215" s="168"/>
      <c r="E215" s="168"/>
      <c r="F215" s="168"/>
      <c r="G215" s="168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63"/>
    </row>
    <row r="216" spans="1:21" ht="18">
      <c r="A216" s="157"/>
      <c r="B216" s="139" t="s">
        <v>677</v>
      </c>
      <c r="C216" s="525"/>
      <c r="D216" s="168"/>
      <c r="E216" s="168"/>
      <c r="F216" s="168"/>
      <c r="G216" s="168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63"/>
    </row>
    <row r="217" spans="1:21" ht="18">
      <c r="A217" s="169" t="s">
        <v>400</v>
      </c>
      <c r="B217" s="139" t="s">
        <v>676</v>
      </c>
      <c r="C217" s="525"/>
      <c r="D217" s="168"/>
      <c r="E217" s="168"/>
      <c r="F217" s="168"/>
      <c r="G217" s="168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63"/>
    </row>
    <row r="218" spans="1:21" ht="18">
      <c r="A218" s="157"/>
      <c r="B218" s="139" t="s">
        <v>677</v>
      </c>
      <c r="C218" s="525"/>
      <c r="D218" s="168"/>
      <c r="E218" s="168"/>
      <c r="F218" s="168"/>
      <c r="G218" s="16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63"/>
    </row>
    <row r="219" spans="1:21" ht="18">
      <c r="A219" s="157" t="s">
        <v>401</v>
      </c>
      <c r="B219" s="139" t="s">
        <v>676</v>
      </c>
      <c r="C219" s="525"/>
      <c r="D219" s="168"/>
      <c r="E219" s="168"/>
      <c r="F219" s="168"/>
      <c r="G219" s="168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63"/>
    </row>
    <row r="220" spans="1:21" ht="18">
      <c r="A220" s="157"/>
      <c r="B220" s="139" t="s">
        <v>677</v>
      </c>
      <c r="C220" s="525"/>
      <c r="D220" s="168"/>
      <c r="E220" s="168"/>
      <c r="F220" s="168"/>
      <c r="G220" s="168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63"/>
    </row>
    <row r="221" spans="1:21" ht="18">
      <c r="A221" s="157" t="s">
        <v>402</v>
      </c>
      <c r="B221" s="139" t="s">
        <v>676</v>
      </c>
      <c r="C221" s="525"/>
      <c r="D221" s="168"/>
      <c r="E221" s="168"/>
      <c r="F221" s="168"/>
      <c r="G221" s="168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63"/>
    </row>
    <row r="222" spans="1:21" ht="18">
      <c r="A222" s="157"/>
      <c r="B222" s="139" t="s">
        <v>677</v>
      </c>
      <c r="C222" s="525"/>
      <c r="D222" s="168"/>
      <c r="E222" s="168"/>
      <c r="F222" s="168"/>
      <c r="G222" s="168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63"/>
    </row>
    <row r="223" spans="1:21" ht="18">
      <c r="A223" s="157" t="s">
        <v>403</v>
      </c>
      <c r="B223" s="139" t="s">
        <v>676</v>
      </c>
      <c r="C223" s="525"/>
      <c r="D223" s="168"/>
      <c r="E223" s="168"/>
      <c r="F223" s="168"/>
      <c r="G223" s="168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63"/>
    </row>
    <row r="224" spans="1:21" ht="18">
      <c r="A224" s="157"/>
      <c r="B224" s="139" t="s">
        <v>677</v>
      </c>
      <c r="C224" s="525"/>
      <c r="D224" s="168"/>
      <c r="E224" s="168"/>
      <c r="F224" s="168"/>
      <c r="G224" s="168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63"/>
    </row>
    <row r="225" spans="1:21" ht="18">
      <c r="A225" s="157" t="s">
        <v>404</v>
      </c>
      <c r="B225" s="139" t="s">
        <v>676</v>
      </c>
      <c r="C225" s="525"/>
      <c r="D225" s="168"/>
      <c r="E225" s="168"/>
      <c r="F225" s="168"/>
      <c r="G225" s="168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63"/>
    </row>
    <row r="226" spans="1:21" ht="18">
      <c r="A226" s="157"/>
      <c r="B226" s="139" t="s">
        <v>677</v>
      </c>
      <c r="C226" s="525"/>
      <c r="D226" s="168"/>
      <c r="E226" s="168"/>
      <c r="F226" s="168"/>
      <c r="G226" s="168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63"/>
    </row>
    <row r="227" spans="1:21" ht="18">
      <c r="A227" s="169" t="s">
        <v>407</v>
      </c>
      <c r="B227" s="139" t="s">
        <v>676</v>
      </c>
      <c r="C227" s="525"/>
      <c r="D227" s="168"/>
      <c r="E227" s="168"/>
      <c r="F227" s="168"/>
      <c r="G227" s="168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63"/>
    </row>
    <row r="228" spans="1:21" ht="18">
      <c r="A228" s="157"/>
      <c r="B228" s="139" t="s">
        <v>677</v>
      </c>
      <c r="C228" s="525"/>
      <c r="D228" s="168"/>
      <c r="E228" s="168"/>
      <c r="F228" s="168"/>
      <c r="G228" s="16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63"/>
    </row>
    <row r="229" spans="1:21" ht="18">
      <c r="A229" s="157" t="s">
        <v>408</v>
      </c>
      <c r="B229" s="139" t="s">
        <v>676</v>
      </c>
      <c r="C229" s="525"/>
      <c r="D229" s="168"/>
      <c r="E229" s="168"/>
      <c r="F229" s="168"/>
      <c r="G229" s="168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63"/>
    </row>
    <row r="230" spans="1:21" ht="18">
      <c r="A230" s="157"/>
      <c r="B230" s="139" t="s">
        <v>677</v>
      </c>
      <c r="C230" s="525"/>
      <c r="D230" s="168"/>
      <c r="E230" s="168"/>
      <c r="F230" s="168"/>
      <c r="G230" s="168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63"/>
    </row>
    <row r="231" spans="1:21" ht="18">
      <c r="A231" s="169" t="s">
        <v>406</v>
      </c>
      <c r="B231" s="139" t="s">
        <v>676</v>
      </c>
      <c r="C231" s="525"/>
      <c r="D231" s="168"/>
      <c r="E231" s="168"/>
      <c r="F231" s="168"/>
      <c r="G231" s="168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63"/>
    </row>
    <row r="232" spans="1:21" ht="18">
      <c r="A232" s="169"/>
      <c r="B232" s="139" t="s">
        <v>677</v>
      </c>
      <c r="C232" s="525"/>
      <c r="D232" s="168"/>
      <c r="E232" s="168"/>
      <c r="F232" s="168"/>
      <c r="G232" s="168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63"/>
    </row>
    <row r="233" spans="1:21" ht="18">
      <c r="A233" s="169" t="s">
        <v>411</v>
      </c>
      <c r="B233" s="139" t="s">
        <v>676</v>
      </c>
      <c r="C233" s="525"/>
      <c r="D233" s="168"/>
      <c r="E233" s="168"/>
      <c r="F233" s="168"/>
      <c r="G233" s="168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63"/>
    </row>
    <row r="234" spans="1:21" ht="18">
      <c r="A234" s="169"/>
      <c r="B234" s="139" t="s">
        <v>677</v>
      </c>
      <c r="C234" s="525"/>
      <c r="D234" s="168"/>
      <c r="E234" s="168"/>
      <c r="F234" s="168"/>
      <c r="G234" s="168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63"/>
    </row>
    <row r="235" spans="1:21" ht="18">
      <c r="A235" s="169" t="s">
        <v>821</v>
      </c>
      <c r="B235" s="139" t="s">
        <v>676</v>
      </c>
      <c r="C235" s="525"/>
      <c r="D235" s="168"/>
      <c r="E235" s="168"/>
      <c r="F235" s="168"/>
      <c r="G235" s="168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63"/>
    </row>
    <row r="236" spans="1:21" ht="18">
      <c r="A236" s="169"/>
      <c r="B236" s="139" t="s">
        <v>677</v>
      </c>
      <c r="C236" s="525"/>
      <c r="D236" s="168"/>
      <c r="E236" s="168"/>
      <c r="F236" s="168"/>
      <c r="G236" s="168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63"/>
    </row>
    <row r="237" spans="1:21" ht="18">
      <c r="A237" s="157" t="s">
        <v>822</v>
      </c>
      <c r="B237" s="139" t="s">
        <v>676</v>
      </c>
      <c r="C237" s="525"/>
      <c r="D237" s="168"/>
      <c r="E237" s="168"/>
      <c r="F237" s="168"/>
      <c r="G237" s="168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63"/>
    </row>
    <row r="238" spans="1:21" ht="18">
      <c r="A238" s="157"/>
      <c r="B238" s="139" t="s">
        <v>677</v>
      </c>
      <c r="C238" s="525"/>
      <c r="D238" s="168"/>
      <c r="E238" s="168"/>
      <c r="F238" s="168"/>
      <c r="G238" s="16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63"/>
    </row>
    <row r="239" spans="1:21" ht="18">
      <c r="A239" s="157" t="s">
        <v>405</v>
      </c>
      <c r="B239" s="139" t="s">
        <v>676</v>
      </c>
      <c r="C239" s="525"/>
      <c r="D239" s="168"/>
      <c r="E239" s="168"/>
      <c r="F239" s="168"/>
      <c r="G239" s="168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63"/>
    </row>
    <row r="240" spans="1:21" ht="18">
      <c r="A240" s="157"/>
      <c r="B240" s="139" t="s">
        <v>677</v>
      </c>
      <c r="C240" s="525"/>
      <c r="D240" s="168"/>
      <c r="E240" s="168"/>
      <c r="F240" s="168"/>
      <c r="G240" s="168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63"/>
    </row>
    <row r="241" spans="1:21" ht="18">
      <c r="A241" s="157" t="s">
        <v>823</v>
      </c>
      <c r="B241" s="139" t="s">
        <v>676</v>
      </c>
      <c r="C241" s="526"/>
      <c r="D241" s="168"/>
      <c r="E241" s="168"/>
      <c r="F241" s="168"/>
      <c r="G241" s="168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63"/>
    </row>
    <row r="242" spans="1:21" ht="14.25">
      <c r="A242" s="149"/>
      <c r="B242" s="159"/>
      <c r="C242" s="134"/>
      <c r="D242" s="148"/>
      <c r="E242" s="148"/>
      <c r="F242" s="148"/>
      <c r="G242" s="148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63"/>
    </row>
    <row r="243" spans="1:21" ht="28.5">
      <c r="A243" s="167" t="s">
        <v>824</v>
      </c>
      <c r="B243" s="159"/>
      <c r="C243" s="134"/>
      <c r="D243" s="148"/>
      <c r="E243" s="148"/>
      <c r="F243" s="148"/>
      <c r="G243" s="148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63"/>
    </row>
    <row r="244" spans="1:21" ht="12.75">
      <c r="A244" s="160" t="s">
        <v>825</v>
      </c>
      <c r="B244" s="139" t="s">
        <v>826</v>
      </c>
      <c r="C244" s="513"/>
      <c r="D244" s="148"/>
      <c r="E244" s="516"/>
      <c r="F244" s="148"/>
      <c r="G244" s="148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63"/>
    </row>
    <row r="245" spans="1:21" ht="12.75">
      <c r="A245" s="138" t="s">
        <v>827</v>
      </c>
      <c r="B245" s="139" t="s">
        <v>826</v>
      </c>
      <c r="C245" s="514"/>
      <c r="D245" s="148"/>
      <c r="E245" s="517"/>
      <c r="F245" s="148"/>
      <c r="G245" s="148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63"/>
    </row>
    <row r="246" spans="1:21" ht="12.75">
      <c r="A246" s="160" t="s">
        <v>828</v>
      </c>
      <c r="B246" s="139" t="s">
        <v>826</v>
      </c>
      <c r="C246" s="515"/>
      <c r="D246" s="148"/>
      <c r="E246" s="518"/>
      <c r="F246" s="148"/>
      <c r="G246" s="148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63"/>
    </row>
    <row r="247" spans="1:21" ht="12.75">
      <c r="A247" s="138" t="s">
        <v>829</v>
      </c>
      <c r="B247" s="139" t="s">
        <v>826</v>
      </c>
      <c r="C247" s="163"/>
      <c r="D247" s="148"/>
      <c r="E247" s="156"/>
      <c r="F247" s="147"/>
      <c r="G247" s="148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63"/>
    </row>
    <row r="248" spans="1:21" ht="12.75">
      <c r="A248" s="160" t="s">
        <v>257</v>
      </c>
      <c r="B248" s="139"/>
      <c r="C248" s="521"/>
      <c r="D248" s="148"/>
      <c r="E248" s="148"/>
      <c r="F248" s="516"/>
      <c r="G248" s="1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63"/>
    </row>
    <row r="249" spans="1:21" ht="12.75">
      <c r="A249" s="149" t="s">
        <v>825</v>
      </c>
      <c r="B249" s="139" t="s">
        <v>826</v>
      </c>
      <c r="C249" s="522"/>
      <c r="D249" s="148"/>
      <c r="E249" s="148"/>
      <c r="F249" s="517"/>
      <c r="G249" s="148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63"/>
    </row>
    <row r="250" spans="1:21" ht="12.75">
      <c r="A250" s="149" t="s">
        <v>830</v>
      </c>
      <c r="B250" s="139"/>
      <c r="C250" s="522"/>
      <c r="D250" s="148"/>
      <c r="E250" s="148"/>
      <c r="F250" s="517"/>
      <c r="G250" s="148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63"/>
    </row>
    <row r="251" spans="1:21" ht="31.5">
      <c r="A251" s="157" t="s">
        <v>831</v>
      </c>
      <c r="B251" s="139" t="s">
        <v>826</v>
      </c>
      <c r="C251" s="522"/>
      <c r="D251" s="148"/>
      <c r="E251" s="148"/>
      <c r="F251" s="517"/>
      <c r="G251" s="148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63"/>
    </row>
    <row r="252" spans="1:21" ht="12.75">
      <c r="A252" s="157" t="s">
        <v>832</v>
      </c>
      <c r="B252" s="139" t="s">
        <v>826</v>
      </c>
      <c r="C252" s="522"/>
      <c r="D252" s="148"/>
      <c r="E252" s="148"/>
      <c r="F252" s="517"/>
      <c r="G252" s="148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63"/>
    </row>
    <row r="253" spans="1:21" ht="21">
      <c r="A253" s="157" t="s">
        <v>833</v>
      </c>
      <c r="B253" s="139" t="s">
        <v>826</v>
      </c>
      <c r="C253" s="522"/>
      <c r="D253" s="148"/>
      <c r="E253" s="148"/>
      <c r="F253" s="517"/>
      <c r="G253" s="148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63"/>
    </row>
    <row r="254" spans="1:21" ht="21">
      <c r="A254" s="157" t="s">
        <v>834</v>
      </c>
      <c r="B254" s="139" t="s">
        <v>826</v>
      </c>
      <c r="C254" s="522"/>
      <c r="D254" s="148"/>
      <c r="E254" s="148"/>
      <c r="F254" s="517"/>
      <c r="G254" s="148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63"/>
    </row>
    <row r="255" spans="1:21" ht="12.75">
      <c r="A255" s="157" t="s">
        <v>835</v>
      </c>
      <c r="B255" s="139" t="s">
        <v>826</v>
      </c>
      <c r="C255" s="522"/>
      <c r="D255" s="148"/>
      <c r="E255" s="148"/>
      <c r="F255" s="517"/>
      <c r="G255" s="148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63"/>
    </row>
    <row r="256" spans="1:21" ht="21">
      <c r="A256" s="157" t="s">
        <v>836</v>
      </c>
      <c r="B256" s="139" t="s">
        <v>826</v>
      </c>
      <c r="C256" s="522"/>
      <c r="D256" s="148"/>
      <c r="E256" s="148"/>
      <c r="F256" s="517"/>
      <c r="G256" s="148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63"/>
    </row>
    <row r="257" spans="1:21" ht="12.75">
      <c r="A257" s="149" t="s">
        <v>827</v>
      </c>
      <c r="B257" s="139" t="s">
        <v>826</v>
      </c>
      <c r="C257" s="522"/>
      <c r="D257" s="148"/>
      <c r="E257" s="148"/>
      <c r="F257" s="517"/>
      <c r="G257" s="148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63"/>
    </row>
    <row r="258" spans="1:21" ht="12.75">
      <c r="A258" s="149" t="s">
        <v>828</v>
      </c>
      <c r="B258" s="139" t="s">
        <v>826</v>
      </c>
      <c r="C258" s="522"/>
      <c r="D258" s="148"/>
      <c r="E258" s="148"/>
      <c r="F258" s="517"/>
      <c r="G258" s="14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63"/>
    </row>
    <row r="259" spans="1:21" ht="12.75">
      <c r="A259" s="149" t="s">
        <v>830</v>
      </c>
      <c r="B259" s="139"/>
      <c r="C259" s="522"/>
      <c r="D259" s="148"/>
      <c r="E259" s="148"/>
      <c r="F259" s="517"/>
      <c r="G259" s="148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63"/>
    </row>
    <row r="260" spans="1:21" ht="31.5">
      <c r="A260" s="157" t="s">
        <v>831</v>
      </c>
      <c r="B260" s="139" t="s">
        <v>826</v>
      </c>
      <c r="C260" s="522"/>
      <c r="D260" s="148"/>
      <c r="E260" s="148"/>
      <c r="F260" s="517"/>
      <c r="G260" s="148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63"/>
    </row>
    <row r="261" spans="1:21" ht="21">
      <c r="A261" s="157" t="s">
        <v>833</v>
      </c>
      <c r="B261" s="139" t="s">
        <v>826</v>
      </c>
      <c r="C261" s="522"/>
      <c r="D261" s="148"/>
      <c r="E261" s="148"/>
      <c r="F261" s="517"/>
      <c r="G261" s="148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63"/>
    </row>
    <row r="262" spans="1:21" ht="21">
      <c r="A262" s="157" t="s">
        <v>837</v>
      </c>
      <c r="B262" s="139" t="s">
        <v>826</v>
      </c>
      <c r="C262" s="522"/>
      <c r="D262" s="148"/>
      <c r="E262" s="148"/>
      <c r="F262" s="517"/>
      <c r="G262" s="148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63"/>
    </row>
    <row r="263" spans="1:21" ht="12.75">
      <c r="A263" s="157" t="s">
        <v>835</v>
      </c>
      <c r="B263" s="139" t="s">
        <v>826</v>
      </c>
      <c r="C263" s="522"/>
      <c r="D263" s="148"/>
      <c r="E263" s="148"/>
      <c r="F263" s="517"/>
      <c r="G263" s="148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63"/>
    </row>
    <row r="264" spans="1:21" ht="21">
      <c r="A264" s="157" t="s">
        <v>836</v>
      </c>
      <c r="B264" s="139" t="s">
        <v>826</v>
      </c>
      <c r="C264" s="522"/>
      <c r="D264" s="148"/>
      <c r="E264" s="148"/>
      <c r="F264" s="517"/>
      <c r="G264" s="148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63"/>
    </row>
    <row r="265" spans="1:21" ht="12.75">
      <c r="A265" s="149" t="s">
        <v>829</v>
      </c>
      <c r="B265" s="139" t="s">
        <v>826</v>
      </c>
      <c r="C265" s="522"/>
      <c r="D265" s="148"/>
      <c r="E265" s="148"/>
      <c r="F265" s="517"/>
      <c r="G265" s="148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63"/>
    </row>
    <row r="266" spans="1:21" ht="21">
      <c r="A266" s="160" t="s">
        <v>287</v>
      </c>
      <c r="B266" s="139"/>
      <c r="C266" s="522"/>
      <c r="D266" s="148"/>
      <c r="E266" s="148"/>
      <c r="F266" s="517"/>
      <c r="G266" s="148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63"/>
    </row>
    <row r="267" spans="1:21" ht="12.75">
      <c r="A267" s="149" t="s">
        <v>825</v>
      </c>
      <c r="B267" s="139" t="s">
        <v>826</v>
      </c>
      <c r="C267" s="522"/>
      <c r="D267" s="148"/>
      <c r="E267" s="148"/>
      <c r="F267" s="517"/>
      <c r="G267" s="148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63"/>
    </row>
    <row r="268" spans="1:21" ht="12.75">
      <c r="A268" s="149" t="s">
        <v>827</v>
      </c>
      <c r="B268" s="139" t="s">
        <v>826</v>
      </c>
      <c r="C268" s="522"/>
      <c r="D268" s="148"/>
      <c r="E268" s="148"/>
      <c r="F268" s="517"/>
      <c r="G268" s="14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63"/>
    </row>
    <row r="269" spans="1:21" ht="12.75">
      <c r="A269" s="149" t="s">
        <v>828</v>
      </c>
      <c r="B269" s="139" t="s">
        <v>826</v>
      </c>
      <c r="C269" s="522"/>
      <c r="D269" s="148"/>
      <c r="E269" s="148"/>
      <c r="F269" s="517"/>
      <c r="G269" s="148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63"/>
    </row>
    <row r="270" spans="1:21" ht="12.75">
      <c r="A270" s="149" t="s">
        <v>829</v>
      </c>
      <c r="B270" s="139" t="s">
        <v>826</v>
      </c>
      <c r="C270" s="522"/>
      <c r="D270" s="148"/>
      <c r="E270" s="148"/>
      <c r="F270" s="517"/>
      <c r="G270" s="148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63"/>
    </row>
    <row r="271" spans="1:21" ht="12.75">
      <c r="A271" s="160" t="s">
        <v>288</v>
      </c>
      <c r="B271" s="139"/>
      <c r="C271" s="522"/>
      <c r="D271" s="148"/>
      <c r="E271" s="148"/>
      <c r="F271" s="517"/>
      <c r="G271" s="148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63"/>
    </row>
    <row r="272" spans="1:21" ht="12.75">
      <c r="A272" s="149" t="s">
        <v>825</v>
      </c>
      <c r="B272" s="139" t="s">
        <v>826</v>
      </c>
      <c r="C272" s="522"/>
      <c r="D272" s="148"/>
      <c r="E272" s="148"/>
      <c r="F272" s="517"/>
      <c r="G272" s="148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63"/>
    </row>
    <row r="273" spans="1:21" ht="12.75">
      <c r="A273" s="149" t="s">
        <v>830</v>
      </c>
      <c r="B273" s="139"/>
      <c r="C273" s="522"/>
      <c r="D273" s="148"/>
      <c r="E273" s="148"/>
      <c r="F273" s="517"/>
      <c r="G273" s="148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63"/>
    </row>
    <row r="274" spans="1:21" ht="31.5">
      <c r="A274" s="157" t="s">
        <v>831</v>
      </c>
      <c r="B274" s="139" t="s">
        <v>826</v>
      </c>
      <c r="C274" s="522"/>
      <c r="D274" s="148"/>
      <c r="E274" s="148"/>
      <c r="F274" s="517"/>
      <c r="G274" s="148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63"/>
    </row>
    <row r="275" spans="1:21" ht="12.75">
      <c r="A275" s="157" t="s">
        <v>832</v>
      </c>
      <c r="B275" s="139" t="s">
        <v>826</v>
      </c>
      <c r="C275" s="522"/>
      <c r="D275" s="148"/>
      <c r="E275" s="148"/>
      <c r="F275" s="517"/>
      <c r="G275" s="148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63"/>
    </row>
    <row r="276" spans="1:21" ht="21">
      <c r="A276" s="157" t="s">
        <v>833</v>
      </c>
      <c r="B276" s="139" t="s">
        <v>826</v>
      </c>
      <c r="C276" s="522"/>
      <c r="D276" s="148"/>
      <c r="E276" s="148"/>
      <c r="F276" s="517"/>
      <c r="G276" s="148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63"/>
    </row>
    <row r="277" spans="1:21" ht="21">
      <c r="A277" s="157" t="s">
        <v>834</v>
      </c>
      <c r="B277" s="139" t="s">
        <v>826</v>
      </c>
      <c r="C277" s="522"/>
      <c r="D277" s="148"/>
      <c r="E277" s="148"/>
      <c r="F277" s="517"/>
      <c r="G277" s="148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63"/>
    </row>
    <row r="278" spans="1:21" ht="12.75">
      <c r="A278" s="157" t="s">
        <v>835</v>
      </c>
      <c r="B278" s="139" t="s">
        <v>826</v>
      </c>
      <c r="C278" s="522"/>
      <c r="D278" s="148"/>
      <c r="E278" s="148"/>
      <c r="F278" s="517"/>
      <c r="G278" s="14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63"/>
    </row>
    <row r="279" spans="1:21" ht="21">
      <c r="A279" s="157" t="s">
        <v>836</v>
      </c>
      <c r="B279" s="139" t="s">
        <v>826</v>
      </c>
      <c r="C279" s="522"/>
      <c r="D279" s="148"/>
      <c r="E279" s="148"/>
      <c r="F279" s="517"/>
      <c r="G279" s="148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 s="63"/>
    </row>
    <row r="280" spans="1:21" ht="12.75">
      <c r="A280" s="149" t="s">
        <v>827</v>
      </c>
      <c r="B280" s="139" t="s">
        <v>826</v>
      </c>
      <c r="C280" s="522"/>
      <c r="D280" s="148"/>
      <c r="E280" s="148"/>
      <c r="F280" s="517"/>
      <c r="G280" s="148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 s="63"/>
    </row>
    <row r="281" spans="1:21" ht="12.75">
      <c r="A281" s="149" t="s">
        <v>828</v>
      </c>
      <c r="B281" s="139" t="s">
        <v>826</v>
      </c>
      <c r="C281" s="522"/>
      <c r="D281" s="148"/>
      <c r="E281" s="148"/>
      <c r="F281" s="517"/>
      <c r="G281" s="148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 s="63"/>
    </row>
    <row r="282" spans="1:21" ht="12.75">
      <c r="A282" s="149" t="s">
        <v>830</v>
      </c>
      <c r="B282" s="139"/>
      <c r="C282" s="522"/>
      <c r="D282" s="148"/>
      <c r="E282" s="148"/>
      <c r="F282" s="517"/>
      <c r="G282" s="148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 s="63"/>
    </row>
    <row r="283" spans="1:21" ht="31.5">
      <c r="A283" s="157" t="s">
        <v>831</v>
      </c>
      <c r="B283" s="139" t="s">
        <v>826</v>
      </c>
      <c r="C283" s="522"/>
      <c r="D283" s="148"/>
      <c r="E283" s="148"/>
      <c r="F283" s="517"/>
      <c r="G283" s="148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 s="63"/>
    </row>
    <row r="284" spans="1:21" ht="21">
      <c r="A284" s="157" t="s">
        <v>833</v>
      </c>
      <c r="B284" s="139" t="s">
        <v>826</v>
      </c>
      <c r="C284" s="522"/>
      <c r="D284" s="148"/>
      <c r="E284" s="148"/>
      <c r="F284" s="517"/>
      <c r="G284" s="148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 s="63"/>
    </row>
    <row r="285" spans="1:21" ht="21">
      <c r="A285" s="157" t="s">
        <v>837</v>
      </c>
      <c r="B285" s="139" t="s">
        <v>826</v>
      </c>
      <c r="C285" s="522"/>
      <c r="D285" s="148"/>
      <c r="E285" s="148"/>
      <c r="F285" s="517"/>
      <c r="G285" s="148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 s="63"/>
    </row>
    <row r="286" spans="1:21" ht="12.75">
      <c r="A286" s="157" t="s">
        <v>835</v>
      </c>
      <c r="B286" s="139" t="s">
        <v>826</v>
      </c>
      <c r="C286" s="522"/>
      <c r="D286" s="148"/>
      <c r="E286" s="148"/>
      <c r="F286" s="517"/>
      <c r="G286" s="148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 s="63"/>
    </row>
    <row r="287" spans="1:21" ht="21">
      <c r="A287" s="157" t="s">
        <v>836</v>
      </c>
      <c r="B287" s="139" t="s">
        <v>826</v>
      </c>
      <c r="C287" s="522"/>
      <c r="D287" s="148"/>
      <c r="E287" s="148"/>
      <c r="F287" s="517"/>
      <c r="G287" s="148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 s="63"/>
    </row>
    <row r="288" spans="1:21" ht="12.75">
      <c r="A288" s="149" t="s">
        <v>829</v>
      </c>
      <c r="B288" s="139" t="s">
        <v>826</v>
      </c>
      <c r="C288" s="161"/>
      <c r="D288" s="161"/>
      <c r="E288" s="161"/>
      <c r="F288" s="161"/>
      <c r="G288" s="161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 s="63"/>
    </row>
    <row r="289" spans="1:21" ht="12.75">
      <c r="A289" s="164"/>
      <c r="B289" s="164"/>
      <c r="C289" s="165"/>
      <c r="D289" s="166"/>
      <c r="E289" s="166"/>
      <c r="F289" s="166"/>
      <c r="G289" s="166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 s="63"/>
    </row>
    <row r="290" spans="1:21" ht="14.25">
      <c r="A290" s="167" t="s">
        <v>838</v>
      </c>
      <c r="B290" s="159"/>
      <c r="C290" s="134"/>
      <c r="D290" s="148"/>
      <c r="E290" s="148"/>
      <c r="F290" s="148"/>
      <c r="G290" s="148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 s="63"/>
    </row>
    <row r="291" spans="1:21" ht="21">
      <c r="A291" s="160" t="s">
        <v>839</v>
      </c>
      <c r="B291" s="139" t="s">
        <v>314</v>
      </c>
      <c r="C291" s="134"/>
      <c r="D291" s="516"/>
      <c r="E291" s="516"/>
      <c r="F291" s="516"/>
      <c r="G291" s="516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 s="63"/>
    </row>
    <row r="292" spans="1:21" ht="21">
      <c r="A292" s="138" t="s">
        <v>840</v>
      </c>
      <c r="B292" s="139"/>
      <c r="C292" s="134"/>
      <c r="D292" s="517"/>
      <c r="E292" s="517"/>
      <c r="F292" s="517"/>
      <c r="G292" s="5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 s="63"/>
    </row>
    <row r="293" spans="1:21" ht="12.75">
      <c r="A293" s="149" t="s">
        <v>841</v>
      </c>
      <c r="B293" s="139" t="s">
        <v>282</v>
      </c>
      <c r="C293" s="134"/>
      <c r="D293" s="517"/>
      <c r="E293" s="517"/>
      <c r="F293" s="517"/>
      <c r="G293" s="5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 s="63"/>
    </row>
    <row r="294" spans="1:21" ht="12.75">
      <c r="A294" s="149" t="s">
        <v>842</v>
      </c>
      <c r="B294" s="139" t="s">
        <v>282</v>
      </c>
      <c r="C294" s="134"/>
      <c r="D294" s="517"/>
      <c r="E294" s="517"/>
      <c r="F294" s="517"/>
      <c r="G294" s="5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 s="63"/>
    </row>
    <row r="295" spans="1:21" ht="21">
      <c r="A295" s="149" t="s">
        <v>843</v>
      </c>
      <c r="B295" s="139" t="s">
        <v>282</v>
      </c>
      <c r="C295" s="134"/>
      <c r="D295" s="517"/>
      <c r="E295" s="517"/>
      <c r="F295" s="517"/>
      <c r="G295" s="5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 s="63"/>
    </row>
    <row r="296" spans="1:21" ht="12.75">
      <c r="A296" s="149" t="s">
        <v>844</v>
      </c>
      <c r="B296" s="139" t="s">
        <v>282</v>
      </c>
      <c r="C296" s="134"/>
      <c r="D296" s="517"/>
      <c r="E296" s="517"/>
      <c r="F296" s="517"/>
      <c r="G296" s="5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 s="63"/>
    </row>
    <row r="297" spans="1:21" ht="42">
      <c r="A297" s="149" t="s">
        <v>0</v>
      </c>
      <c r="B297" s="139" t="s">
        <v>282</v>
      </c>
      <c r="C297" s="134"/>
      <c r="D297" s="517"/>
      <c r="E297" s="517"/>
      <c r="F297" s="517"/>
      <c r="G297" s="5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 s="63"/>
    </row>
    <row r="298" spans="1:21" ht="31.5">
      <c r="A298" s="160" t="s">
        <v>1</v>
      </c>
      <c r="B298" s="139" t="s">
        <v>593</v>
      </c>
      <c r="C298" s="134"/>
      <c r="D298" s="517"/>
      <c r="E298" s="517"/>
      <c r="F298" s="517"/>
      <c r="G298" s="5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 s="63"/>
    </row>
    <row r="299" spans="1:21" ht="21">
      <c r="A299" s="138" t="s">
        <v>840</v>
      </c>
      <c r="B299" s="139"/>
      <c r="C299" s="134"/>
      <c r="D299" s="517"/>
      <c r="E299" s="517"/>
      <c r="F299" s="517"/>
      <c r="G299" s="517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 s="63"/>
    </row>
    <row r="300" spans="1:21" ht="12.75">
      <c r="A300" s="149" t="s">
        <v>841</v>
      </c>
      <c r="B300" s="139" t="s">
        <v>593</v>
      </c>
      <c r="C300" s="134"/>
      <c r="D300" s="517"/>
      <c r="E300" s="517"/>
      <c r="F300" s="517"/>
      <c r="G300" s="517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 s="63"/>
    </row>
    <row r="301" spans="1:21" ht="12.75">
      <c r="A301" s="149" t="s">
        <v>842</v>
      </c>
      <c r="B301" s="139" t="s">
        <v>593</v>
      </c>
      <c r="C301" s="134"/>
      <c r="D301" s="517"/>
      <c r="E301" s="517"/>
      <c r="F301" s="517"/>
      <c r="G301" s="517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 s="63"/>
    </row>
    <row r="302" spans="1:21" ht="21">
      <c r="A302" s="149" t="s">
        <v>843</v>
      </c>
      <c r="B302" s="139" t="s">
        <v>593</v>
      </c>
      <c r="C302" s="134"/>
      <c r="D302" s="517"/>
      <c r="E302" s="517"/>
      <c r="F302" s="517"/>
      <c r="G302" s="517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 s="63"/>
    </row>
    <row r="303" spans="1:21" ht="12.75">
      <c r="A303" s="149" t="s">
        <v>844</v>
      </c>
      <c r="B303" s="139" t="s">
        <v>593</v>
      </c>
      <c r="C303" s="134"/>
      <c r="D303" s="517"/>
      <c r="E303" s="517"/>
      <c r="F303" s="517"/>
      <c r="G303" s="517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 s="63"/>
    </row>
    <row r="304" spans="1:21" ht="42">
      <c r="A304" s="149" t="s">
        <v>0</v>
      </c>
      <c r="B304" s="139" t="s">
        <v>593</v>
      </c>
      <c r="C304" s="134"/>
      <c r="D304" s="517"/>
      <c r="E304" s="517"/>
      <c r="F304" s="517"/>
      <c r="G304" s="517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 s="63"/>
    </row>
    <row r="305" spans="1:21" ht="18">
      <c r="A305" s="160" t="s">
        <v>2</v>
      </c>
      <c r="B305" s="139" t="s">
        <v>676</v>
      </c>
      <c r="C305" s="134"/>
      <c r="D305" s="517"/>
      <c r="E305" s="517"/>
      <c r="F305" s="517"/>
      <c r="G305" s="51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 s="63"/>
    </row>
    <row r="306" spans="1:21" ht="12.75">
      <c r="A306" s="138" t="s">
        <v>3</v>
      </c>
      <c r="B306" s="139" t="s">
        <v>664</v>
      </c>
      <c r="C306" s="134"/>
      <c r="D306" s="517"/>
      <c r="E306" s="517"/>
      <c r="F306" s="517"/>
      <c r="G306" s="517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 s="63"/>
    </row>
    <row r="307" spans="1:21" ht="21">
      <c r="A307" s="138" t="s">
        <v>840</v>
      </c>
      <c r="B307" s="139"/>
      <c r="C307" s="134"/>
      <c r="D307" s="517"/>
      <c r="E307" s="517"/>
      <c r="F307" s="517"/>
      <c r="G307" s="51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 s="63"/>
    </row>
    <row r="308" spans="1:21" ht="21">
      <c r="A308" s="149" t="s">
        <v>4</v>
      </c>
      <c r="B308" s="139" t="s">
        <v>676</v>
      </c>
      <c r="C308" s="134"/>
      <c r="D308" s="517"/>
      <c r="E308" s="517"/>
      <c r="F308" s="517"/>
      <c r="G308" s="517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 s="63"/>
    </row>
    <row r="309" spans="1:21" ht="21">
      <c r="A309" s="149" t="s">
        <v>683</v>
      </c>
      <c r="B309" s="139" t="s">
        <v>664</v>
      </c>
      <c r="C309" s="134"/>
      <c r="D309" s="517"/>
      <c r="E309" s="517"/>
      <c r="F309" s="517"/>
      <c r="G309" s="517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 s="63"/>
    </row>
    <row r="310" spans="1:21" ht="21">
      <c r="A310" s="149" t="s">
        <v>5</v>
      </c>
      <c r="B310" s="139" t="s">
        <v>676</v>
      </c>
      <c r="C310" s="134"/>
      <c r="D310" s="517"/>
      <c r="E310" s="517"/>
      <c r="F310" s="517"/>
      <c r="G310" s="517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 s="63"/>
    </row>
    <row r="311" spans="1:21" ht="21">
      <c r="A311" s="149" t="s">
        <v>693</v>
      </c>
      <c r="B311" s="139" t="s">
        <v>664</v>
      </c>
      <c r="C311" s="134"/>
      <c r="D311" s="517"/>
      <c r="E311" s="517"/>
      <c r="F311" s="517"/>
      <c r="G311" s="517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 s="63"/>
    </row>
    <row r="312" spans="1:21" ht="31.5">
      <c r="A312" s="149" t="s">
        <v>6</v>
      </c>
      <c r="B312" s="139" t="s">
        <v>676</v>
      </c>
      <c r="C312" s="134"/>
      <c r="D312" s="517"/>
      <c r="E312" s="517"/>
      <c r="F312" s="517"/>
      <c r="G312" s="517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 s="63"/>
    </row>
    <row r="313" spans="1:21" ht="31.5">
      <c r="A313" s="149" t="s">
        <v>741</v>
      </c>
      <c r="B313" s="139" t="s">
        <v>664</v>
      </c>
      <c r="C313" s="134"/>
      <c r="D313" s="517"/>
      <c r="E313" s="517"/>
      <c r="F313" s="517"/>
      <c r="G313" s="517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 s="63"/>
    </row>
    <row r="314" spans="1:21" ht="21">
      <c r="A314" s="149" t="s">
        <v>7</v>
      </c>
      <c r="B314" s="139" t="s">
        <v>676</v>
      </c>
      <c r="C314" s="134"/>
      <c r="D314" s="517"/>
      <c r="E314" s="517"/>
      <c r="F314" s="517"/>
      <c r="G314" s="517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 s="63"/>
    </row>
    <row r="315" spans="1:21" ht="21">
      <c r="A315" s="149" t="s">
        <v>8</v>
      </c>
      <c r="B315" s="139" t="s">
        <v>664</v>
      </c>
      <c r="C315" s="134"/>
      <c r="D315" s="517"/>
      <c r="E315" s="517"/>
      <c r="F315" s="517"/>
      <c r="G315" s="517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 s="63"/>
    </row>
    <row r="316" spans="1:21" ht="52.5">
      <c r="A316" s="149" t="s">
        <v>9</v>
      </c>
      <c r="B316" s="139" t="s">
        <v>676</v>
      </c>
      <c r="C316" s="134"/>
      <c r="D316" s="517"/>
      <c r="E316" s="517"/>
      <c r="F316" s="517"/>
      <c r="G316" s="51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 s="63"/>
    </row>
    <row r="317" spans="1:21" ht="42">
      <c r="A317" s="149" t="s">
        <v>10</v>
      </c>
      <c r="B317" s="139" t="s">
        <v>664</v>
      </c>
      <c r="C317" s="134"/>
      <c r="D317" s="517"/>
      <c r="E317" s="517"/>
      <c r="F317" s="517"/>
      <c r="G317" s="5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 s="63"/>
    </row>
    <row r="318" spans="1:21" ht="12.75">
      <c r="A318" s="164"/>
      <c r="B318" s="164"/>
      <c r="C318" s="165"/>
      <c r="D318" s="166"/>
      <c r="E318" s="166"/>
      <c r="F318" s="166"/>
      <c r="G318" s="166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 s="63"/>
    </row>
    <row r="319" spans="1:21" ht="14.25">
      <c r="A319" s="167" t="s">
        <v>11</v>
      </c>
      <c r="B319" s="159"/>
      <c r="C319" s="134"/>
      <c r="D319" s="148"/>
      <c r="E319" s="148"/>
      <c r="F319" s="148"/>
      <c r="G319" s="148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 s="63"/>
    </row>
    <row r="320" spans="1:21" ht="21">
      <c r="A320" s="170" t="s">
        <v>12</v>
      </c>
      <c r="B320" s="171" t="s">
        <v>676</v>
      </c>
      <c r="C320" s="172"/>
      <c r="D320" s="148"/>
      <c r="E320" s="148"/>
      <c r="F320" s="148"/>
      <c r="G320" s="148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 s="63"/>
    </row>
    <row r="321" spans="1:21" ht="27">
      <c r="A321" s="138"/>
      <c r="B321" s="139" t="s">
        <v>13</v>
      </c>
      <c r="C321" s="172"/>
      <c r="D321" s="148"/>
      <c r="E321" s="148"/>
      <c r="F321" s="154"/>
      <c r="G321" s="148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 s="63"/>
    </row>
    <row r="322" spans="1:21" ht="18">
      <c r="A322" s="138"/>
      <c r="B322" s="139" t="s">
        <v>14</v>
      </c>
      <c r="C322"/>
      <c r="D322" s="148"/>
      <c r="E322" s="148"/>
      <c r="F322" s="148"/>
      <c r="G322" s="148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 s="63"/>
    </row>
    <row r="323" spans="1:21" ht="42">
      <c r="A323" s="138" t="s">
        <v>15</v>
      </c>
      <c r="B323" s="171" t="s">
        <v>676</v>
      </c>
      <c r="C323"/>
      <c r="D323" s="148"/>
      <c r="E323" s="148"/>
      <c r="F323" s="156"/>
      <c r="G323" s="148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 s="63"/>
    </row>
    <row r="324" spans="1:21" ht="27">
      <c r="A324" s="138"/>
      <c r="B324" s="139" t="s">
        <v>13</v>
      </c>
      <c r="C324"/>
      <c r="D324" s="148"/>
      <c r="E324" s="148"/>
      <c r="F324" s="156"/>
      <c r="G324" s="148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 s="63"/>
    </row>
    <row r="325" spans="1:21" ht="18">
      <c r="A325" s="138"/>
      <c r="B325" s="139" t="s">
        <v>14</v>
      </c>
      <c r="C325"/>
      <c r="D325" s="148"/>
      <c r="E325" s="148"/>
      <c r="F325" s="156"/>
      <c r="G325" s="148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 s="63"/>
    </row>
    <row r="326" spans="1:21" ht="42">
      <c r="A326" s="138" t="s">
        <v>16</v>
      </c>
      <c r="B326" s="139"/>
      <c r="C326" s="134"/>
      <c r="D326" s="148"/>
      <c r="E326" s="148"/>
      <c r="F326" s="156"/>
      <c r="G326" s="148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 s="63"/>
    </row>
    <row r="327" spans="1:21" ht="21">
      <c r="A327" s="149" t="s">
        <v>17</v>
      </c>
      <c r="B327" s="171" t="s">
        <v>676</v>
      </c>
      <c r="C327" s="134"/>
      <c r="D327" s="148"/>
      <c r="E327" s="148"/>
      <c r="F327" s="148"/>
      <c r="G327" s="148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 s="63"/>
    </row>
    <row r="328" spans="1:21" ht="27">
      <c r="A328" s="149"/>
      <c r="B328" s="139" t="s">
        <v>13</v>
      </c>
      <c r="C328" s="134"/>
      <c r="D328" s="148"/>
      <c r="E328" s="148"/>
      <c r="F328" s="148"/>
      <c r="G328" s="14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 s="63"/>
    </row>
    <row r="329" spans="1:21" ht="18">
      <c r="A329" s="149" t="s">
        <v>18</v>
      </c>
      <c r="B329" s="171" t="s">
        <v>676</v>
      </c>
      <c r="C329" s="134"/>
      <c r="D329" s="148"/>
      <c r="E329" s="148"/>
      <c r="F329" s="148"/>
      <c r="G329" s="148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 s="65"/>
    </row>
    <row r="330" spans="1:21" ht="27">
      <c r="A330" s="149"/>
      <c r="B330" s="139" t="s">
        <v>13</v>
      </c>
      <c r="C330" s="134"/>
      <c r="D330" s="148"/>
      <c r="E330" s="148"/>
      <c r="F330" s="148"/>
      <c r="G330" s="148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 s="65"/>
    </row>
    <row r="331" spans="1:21" ht="18">
      <c r="A331" s="149" t="s">
        <v>841</v>
      </c>
      <c r="B331" s="171" t="s">
        <v>676</v>
      </c>
      <c r="C331" s="134"/>
      <c r="D331" s="148"/>
      <c r="E331" s="148"/>
      <c r="F331" s="148"/>
      <c r="G331" s="148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 s="65"/>
    </row>
    <row r="332" spans="1:21" ht="27">
      <c r="A332" s="149"/>
      <c r="B332" s="139" t="s">
        <v>13</v>
      </c>
      <c r="C332" s="134"/>
      <c r="D332" s="148"/>
      <c r="E332" s="148"/>
      <c r="F332" s="148"/>
      <c r="G332" s="148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 s="65"/>
    </row>
    <row r="333" spans="1:21" ht="21">
      <c r="A333" s="157" t="s">
        <v>19</v>
      </c>
      <c r="B333" s="171" t="s">
        <v>676</v>
      </c>
      <c r="C333" s="134"/>
      <c r="D333" s="148"/>
      <c r="E333" s="148"/>
      <c r="F333" s="148"/>
      <c r="G333" s="148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 s="65"/>
    </row>
    <row r="334" spans="1:21" ht="27">
      <c r="A334" s="157"/>
      <c r="B334" s="139" t="s">
        <v>13</v>
      </c>
      <c r="C334" s="134"/>
      <c r="D334" s="148"/>
      <c r="E334" s="148"/>
      <c r="F334" s="148"/>
      <c r="G334" s="148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 s="65"/>
    </row>
    <row r="335" spans="1:21" ht="21">
      <c r="A335" s="157" t="s">
        <v>20</v>
      </c>
      <c r="B335" s="171" t="s">
        <v>676</v>
      </c>
      <c r="C335" s="134"/>
      <c r="D335" s="148"/>
      <c r="E335" s="148"/>
      <c r="F335" s="148"/>
      <c r="G335" s="148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 s="64"/>
    </row>
    <row r="336" spans="1:21" ht="27">
      <c r="A336" s="157"/>
      <c r="B336" s="139" t="s">
        <v>13</v>
      </c>
      <c r="C336" s="134"/>
      <c r="D336" s="148"/>
      <c r="E336" s="148"/>
      <c r="F336" s="148"/>
      <c r="G336" s="148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 s="64"/>
    </row>
    <row r="337" spans="1:21" ht="18">
      <c r="A337" s="149" t="s">
        <v>842</v>
      </c>
      <c r="B337" s="171" t="s">
        <v>676</v>
      </c>
      <c r="C337" s="134"/>
      <c r="D337" s="148"/>
      <c r="E337" s="148"/>
      <c r="F337" s="148"/>
      <c r="G337" s="148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 s="64"/>
    </row>
    <row r="338" spans="1:21" ht="27">
      <c r="A338" s="149"/>
      <c r="B338" s="139" t="s">
        <v>13</v>
      </c>
      <c r="C338" s="134"/>
      <c r="D338" s="148"/>
      <c r="E338" s="148"/>
      <c r="F338" s="148"/>
      <c r="G338" s="14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 s="64"/>
    </row>
    <row r="339" spans="1:21" ht="21">
      <c r="A339" s="157" t="s">
        <v>21</v>
      </c>
      <c r="B339" s="171" t="s">
        <v>676</v>
      </c>
      <c r="C339" s="134"/>
      <c r="D339" s="148"/>
      <c r="E339" s="148"/>
      <c r="F339" s="148"/>
      <c r="G339" s="148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 s="64"/>
    </row>
    <row r="340" spans="1:21" ht="27">
      <c r="A340" s="157"/>
      <c r="B340" s="139" t="s">
        <v>13</v>
      </c>
      <c r="C340" s="134"/>
      <c r="D340" s="148"/>
      <c r="E340" s="148"/>
      <c r="F340" s="148"/>
      <c r="G340" s="148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 s="64"/>
    </row>
    <row r="341" spans="1:21" ht="21">
      <c r="A341" s="157" t="s">
        <v>22</v>
      </c>
      <c r="B341" s="171" t="s">
        <v>676</v>
      </c>
      <c r="C341" s="134"/>
      <c r="D341" s="148"/>
      <c r="E341" s="148"/>
      <c r="F341" s="148"/>
      <c r="G341" s="148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 s="64"/>
    </row>
    <row r="342" spans="1:21" ht="27">
      <c r="A342" s="157"/>
      <c r="B342" s="139" t="s">
        <v>13</v>
      </c>
      <c r="C342" s="134"/>
      <c r="D342" s="148"/>
      <c r="E342" s="148"/>
      <c r="F342" s="148"/>
      <c r="G342" s="148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 s="64"/>
    </row>
    <row r="343" spans="1:21" ht="21">
      <c r="A343" s="157" t="s">
        <v>23</v>
      </c>
      <c r="B343" s="171" t="s">
        <v>676</v>
      </c>
      <c r="C343" s="134"/>
      <c r="D343" s="148"/>
      <c r="E343" s="148"/>
      <c r="F343" s="148"/>
      <c r="G343" s="148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 s="64"/>
    </row>
    <row r="344" spans="1:21" ht="27">
      <c r="A344" s="157"/>
      <c r="B344" s="139" t="s">
        <v>13</v>
      </c>
      <c r="C344" s="134"/>
      <c r="D344" s="148"/>
      <c r="E344" s="148"/>
      <c r="F344" s="148"/>
      <c r="G344" s="148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 s="64"/>
    </row>
    <row r="345" spans="1:21" ht="21">
      <c r="A345" s="157" t="s">
        <v>24</v>
      </c>
      <c r="B345" s="171" t="s">
        <v>676</v>
      </c>
      <c r="C345" s="134"/>
      <c r="D345" s="148"/>
      <c r="E345" s="148"/>
      <c r="F345" s="148"/>
      <c r="G345" s="148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 s="64"/>
    </row>
    <row r="346" spans="1:21" ht="27">
      <c r="A346" s="157"/>
      <c r="B346" s="139" t="s">
        <v>13</v>
      </c>
      <c r="C346" s="134"/>
      <c r="D346" s="148"/>
      <c r="E346" s="148"/>
      <c r="F346" s="148"/>
      <c r="G346" s="148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 s="64"/>
    </row>
    <row r="347" spans="1:21" ht="31.5">
      <c r="A347" s="157" t="s">
        <v>25</v>
      </c>
      <c r="B347" s="171" t="s">
        <v>676</v>
      </c>
      <c r="C347" s="134"/>
      <c r="D347" s="148"/>
      <c r="E347" s="148"/>
      <c r="F347" s="148"/>
      <c r="G347" s="148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 s="64"/>
    </row>
    <row r="348" spans="1:21" ht="27">
      <c r="A348" s="157"/>
      <c r="B348" s="139" t="s">
        <v>13</v>
      </c>
      <c r="C348" s="134"/>
      <c r="D348" s="148"/>
      <c r="E348" s="148"/>
      <c r="F348" s="148"/>
      <c r="G348" s="1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 s="64"/>
    </row>
    <row r="349" spans="1:21" ht="21">
      <c r="A349" s="157" t="s">
        <v>26</v>
      </c>
      <c r="B349" s="171" t="s">
        <v>676</v>
      </c>
      <c r="C349" s="134"/>
      <c r="D349" s="148"/>
      <c r="E349" s="148"/>
      <c r="F349" s="148"/>
      <c r="G349" s="148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 s="64"/>
    </row>
    <row r="350" spans="1:21" ht="27">
      <c r="A350" s="157"/>
      <c r="B350" s="139" t="s">
        <v>13</v>
      </c>
      <c r="C350" s="134"/>
      <c r="D350" s="148"/>
      <c r="E350" s="148"/>
      <c r="F350" s="148"/>
      <c r="G350" s="148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 s="64"/>
    </row>
    <row r="351" spans="1:21" ht="18">
      <c r="A351" s="157" t="s">
        <v>27</v>
      </c>
      <c r="B351" s="171" t="s">
        <v>676</v>
      </c>
      <c r="C351" s="134"/>
      <c r="D351" s="148"/>
      <c r="E351" s="148"/>
      <c r="F351" s="148"/>
      <c r="G351" s="148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 s="64"/>
    </row>
    <row r="352" spans="1:21" ht="27">
      <c r="A352" s="157"/>
      <c r="B352" s="139" t="s">
        <v>13</v>
      </c>
      <c r="C352" s="134"/>
      <c r="D352" s="148"/>
      <c r="E352" s="148"/>
      <c r="F352" s="148"/>
      <c r="G352" s="148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 s="64"/>
    </row>
    <row r="353" spans="1:21" ht="21">
      <c r="A353" s="157" t="s">
        <v>28</v>
      </c>
      <c r="B353" s="171" t="s">
        <v>676</v>
      </c>
      <c r="C353" s="134"/>
      <c r="D353" s="148"/>
      <c r="E353" s="148"/>
      <c r="F353" s="148"/>
      <c r="G353" s="148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 s="64"/>
    </row>
    <row r="354" spans="1:21" ht="27">
      <c r="A354" s="157"/>
      <c r="B354" s="139" t="s">
        <v>13</v>
      </c>
      <c r="C354" s="134"/>
      <c r="D354" s="148"/>
      <c r="E354" s="148"/>
      <c r="F354" s="148"/>
      <c r="G354" s="148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 s="64"/>
    </row>
    <row r="355" spans="1:21" ht="21">
      <c r="A355" s="157" t="s">
        <v>29</v>
      </c>
      <c r="B355" s="171" t="s">
        <v>676</v>
      </c>
      <c r="C355" s="134"/>
      <c r="D355" s="148"/>
      <c r="E355" s="148"/>
      <c r="F355" s="148"/>
      <c r="G355" s="148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 s="64"/>
    </row>
    <row r="356" spans="1:21" ht="27">
      <c r="A356" s="157"/>
      <c r="B356" s="139" t="s">
        <v>13</v>
      </c>
      <c r="C356" s="134"/>
      <c r="D356" s="148"/>
      <c r="E356" s="148"/>
      <c r="F356" s="148"/>
      <c r="G356" s="148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 s="64"/>
    </row>
    <row r="357" spans="1:21" ht="31.5">
      <c r="A357" s="157" t="s">
        <v>30</v>
      </c>
      <c r="B357" s="171" t="s">
        <v>676</v>
      </c>
      <c r="C357" s="134"/>
      <c r="D357" s="148"/>
      <c r="E357" s="148"/>
      <c r="F357" s="148"/>
      <c r="G357" s="148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 s="64"/>
    </row>
    <row r="358" spans="1:21" ht="27">
      <c r="A358" s="157"/>
      <c r="B358" s="139" t="s">
        <v>13</v>
      </c>
      <c r="C358" s="134"/>
      <c r="D358" s="148"/>
      <c r="E358" s="148"/>
      <c r="F358" s="148"/>
      <c r="G358" s="14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 s="64"/>
    </row>
    <row r="359" spans="1:21" ht="21">
      <c r="A359" s="157" t="s">
        <v>31</v>
      </c>
      <c r="B359" s="171" t="s">
        <v>676</v>
      </c>
      <c r="C359" s="134"/>
      <c r="D359" s="148"/>
      <c r="E359" s="148"/>
      <c r="F359" s="148"/>
      <c r="G359" s="148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 s="64"/>
    </row>
    <row r="360" spans="1:21" ht="27">
      <c r="A360" s="157"/>
      <c r="B360" s="139" t="s">
        <v>13</v>
      </c>
      <c r="C360" s="134"/>
      <c r="D360" s="148"/>
      <c r="E360" s="148"/>
      <c r="F360" s="148"/>
      <c r="G360" s="148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 s="64"/>
    </row>
    <row r="361" spans="1:21" ht="31.5">
      <c r="A361" s="157" t="s">
        <v>32</v>
      </c>
      <c r="B361" s="171" t="s">
        <v>676</v>
      </c>
      <c r="C361" s="134"/>
      <c r="D361" s="148"/>
      <c r="E361" s="148"/>
      <c r="F361" s="148"/>
      <c r="G361" s="148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 s="64"/>
    </row>
    <row r="362" spans="1:21" ht="27">
      <c r="A362" s="157"/>
      <c r="B362" s="139" t="s">
        <v>13</v>
      </c>
      <c r="C362" s="134"/>
      <c r="D362" s="148"/>
      <c r="E362" s="148"/>
      <c r="F362" s="148"/>
      <c r="G362" s="148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 s="64"/>
    </row>
    <row r="363" spans="1:21" ht="21">
      <c r="A363" s="157" t="s">
        <v>33</v>
      </c>
      <c r="B363" s="171" t="s">
        <v>676</v>
      </c>
      <c r="C363" s="134"/>
      <c r="D363" s="148"/>
      <c r="E363" s="148"/>
      <c r="F363" s="148"/>
      <c r="G363" s="148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 s="64"/>
    </row>
    <row r="364" spans="1:21" ht="27">
      <c r="A364" s="157"/>
      <c r="B364" s="139" t="s">
        <v>13</v>
      </c>
      <c r="C364" s="134"/>
      <c r="D364" s="148"/>
      <c r="E364" s="148"/>
      <c r="F364" s="148"/>
      <c r="G364" s="148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 s="64"/>
    </row>
    <row r="365" spans="1:21" ht="18">
      <c r="A365" s="157" t="s">
        <v>34</v>
      </c>
      <c r="B365" s="171" t="s">
        <v>676</v>
      </c>
      <c r="C365" s="134"/>
      <c r="D365" s="148"/>
      <c r="E365" s="148"/>
      <c r="F365" s="148"/>
      <c r="G365" s="148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 s="64"/>
    </row>
    <row r="366" spans="1:21" ht="27">
      <c r="A366" s="157"/>
      <c r="B366" s="139" t="s">
        <v>13</v>
      </c>
      <c r="C366" s="134"/>
      <c r="D366" s="148"/>
      <c r="E366" s="148"/>
      <c r="F366" s="148"/>
      <c r="G366" s="148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 s="64"/>
    </row>
    <row r="367" spans="1:21" ht="21">
      <c r="A367" s="149" t="s">
        <v>843</v>
      </c>
      <c r="B367" s="171" t="s">
        <v>676</v>
      </c>
      <c r="C367" s="134"/>
      <c r="D367" s="148"/>
      <c r="E367" s="148"/>
      <c r="F367" s="148"/>
      <c r="G367" s="148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 s="64"/>
    </row>
    <row r="368" spans="1:21" ht="27">
      <c r="A368" s="149"/>
      <c r="B368" s="139" t="s">
        <v>13</v>
      </c>
      <c r="C368" s="134"/>
      <c r="D368" s="148"/>
      <c r="E368" s="148"/>
      <c r="F368" s="148"/>
      <c r="G368" s="14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 s="64"/>
    </row>
    <row r="369" spans="1:21" ht="18">
      <c r="A369" s="149" t="s">
        <v>844</v>
      </c>
      <c r="B369" s="171" t="s">
        <v>676</v>
      </c>
      <c r="C369" s="134"/>
      <c r="D369" s="148"/>
      <c r="E369" s="148"/>
      <c r="F369" s="148"/>
      <c r="G369" s="148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 s="64"/>
    </row>
    <row r="370" spans="1:21" ht="27">
      <c r="A370" s="149"/>
      <c r="B370" s="139" t="s">
        <v>13</v>
      </c>
      <c r="C370" s="134"/>
      <c r="D370" s="148"/>
      <c r="E370" s="148"/>
      <c r="F370" s="148"/>
      <c r="G370" s="148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 s="64"/>
    </row>
    <row r="371" spans="1:21" ht="42">
      <c r="A371" s="149" t="s">
        <v>0</v>
      </c>
      <c r="B371" s="171" t="s">
        <v>676</v>
      </c>
      <c r="C371" s="134"/>
      <c r="D371" s="148"/>
      <c r="E371" s="148"/>
      <c r="F371" s="148"/>
      <c r="G371" s="148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 s="64"/>
    </row>
    <row r="372" spans="1:21" ht="27">
      <c r="A372" s="149"/>
      <c r="B372" s="139" t="s">
        <v>13</v>
      </c>
      <c r="C372" s="134"/>
      <c r="D372" s="148"/>
      <c r="E372" s="148"/>
      <c r="F372" s="148"/>
      <c r="G372" s="148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 s="64"/>
    </row>
    <row r="373" spans="1:21" ht="18">
      <c r="A373" s="149" t="s">
        <v>35</v>
      </c>
      <c r="B373" s="171" t="s">
        <v>676</v>
      </c>
      <c r="C373" s="134"/>
      <c r="D373" s="148"/>
      <c r="E373" s="148"/>
      <c r="F373" s="148"/>
      <c r="G373" s="148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 s="64"/>
    </row>
    <row r="374" spans="1:21" ht="27">
      <c r="A374" s="149"/>
      <c r="B374" s="139" t="s">
        <v>13</v>
      </c>
      <c r="C374" s="134"/>
      <c r="D374" s="148"/>
      <c r="E374" s="148"/>
      <c r="F374" s="148"/>
      <c r="G374" s="148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 s="64"/>
    </row>
    <row r="375" spans="1:21" ht="18">
      <c r="A375" s="149" t="s">
        <v>36</v>
      </c>
      <c r="B375" s="171" t="s">
        <v>676</v>
      </c>
      <c r="C375" s="134"/>
      <c r="D375" s="148"/>
      <c r="E375" s="148"/>
      <c r="F375" s="148"/>
      <c r="G375" s="148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 s="64"/>
    </row>
    <row r="376" spans="1:21" ht="27">
      <c r="A376" s="149"/>
      <c r="B376" s="139" t="s">
        <v>13</v>
      </c>
      <c r="C376" s="134"/>
      <c r="D376" s="148"/>
      <c r="E376" s="148"/>
      <c r="F376" s="148"/>
      <c r="G376" s="148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 s="64"/>
    </row>
    <row r="377" spans="1:21" ht="18">
      <c r="A377" s="149" t="s">
        <v>37</v>
      </c>
      <c r="B377" s="171" t="s">
        <v>676</v>
      </c>
      <c r="C377" s="134"/>
      <c r="D377" s="148"/>
      <c r="E377" s="148"/>
      <c r="F377" s="148"/>
      <c r="G377" s="148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 s="64"/>
    </row>
    <row r="378" spans="1:21" ht="27">
      <c r="A378" s="149"/>
      <c r="B378" s="139" t="s">
        <v>13</v>
      </c>
      <c r="C378" s="134"/>
      <c r="D378" s="148"/>
      <c r="E378" s="148"/>
      <c r="F378" s="148"/>
      <c r="G378" s="14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 s="64"/>
    </row>
    <row r="379" spans="1:21" ht="21">
      <c r="A379" s="149" t="s">
        <v>39</v>
      </c>
      <c r="B379" s="171" t="s">
        <v>676</v>
      </c>
      <c r="C379" s="134"/>
      <c r="D379" s="148"/>
      <c r="E379" s="148"/>
      <c r="F379" s="148"/>
      <c r="G379" s="148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 s="64"/>
    </row>
    <row r="380" spans="1:21" ht="27">
      <c r="A380" s="149"/>
      <c r="B380" s="139" t="s">
        <v>13</v>
      </c>
      <c r="C380" s="134"/>
      <c r="D380" s="148"/>
      <c r="E380" s="148"/>
      <c r="F380" s="148"/>
      <c r="G380" s="148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 s="64"/>
    </row>
    <row r="381" spans="1:21" ht="31.5">
      <c r="A381" s="149" t="s">
        <v>40</v>
      </c>
      <c r="B381" s="171" t="s">
        <v>676</v>
      </c>
      <c r="C381" s="134"/>
      <c r="D381" s="148"/>
      <c r="E381" s="148"/>
      <c r="F381" s="148"/>
      <c r="G381" s="148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 s="64"/>
    </row>
    <row r="382" spans="1:21" ht="27">
      <c r="A382" s="149"/>
      <c r="B382" s="139" t="s">
        <v>13</v>
      </c>
      <c r="C382" s="134"/>
      <c r="D382" s="148"/>
      <c r="E382" s="148"/>
      <c r="F382" s="148"/>
      <c r="G382" s="148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 s="64"/>
    </row>
    <row r="383" spans="1:21" ht="18">
      <c r="A383" s="149" t="s">
        <v>41</v>
      </c>
      <c r="B383" s="171" t="s">
        <v>676</v>
      </c>
      <c r="C383" s="134"/>
      <c r="D383" s="148"/>
      <c r="E383" s="148"/>
      <c r="F383" s="148"/>
      <c r="G383" s="148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 s="64"/>
    </row>
    <row r="384" spans="1:21" ht="27">
      <c r="A384" s="149"/>
      <c r="B384" s="139" t="s">
        <v>13</v>
      </c>
      <c r="C384" s="134"/>
      <c r="D384" s="148"/>
      <c r="E384" s="148"/>
      <c r="F384" s="148"/>
      <c r="G384" s="148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 s="64"/>
    </row>
    <row r="385" spans="1:21" ht="21">
      <c r="A385" s="149" t="s">
        <v>42</v>
      </c>
      <c r="B385" s="171" t="s">
        <v>676</v>
      </c>
      <c r="C385" s="134"/>
      <c r="D385" s="148"/>
      <c r="E385" s="148"/>
      <c r="F385" s="148"/>
      <c r="G385" s="148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 s="64"/>
    </row>
    <row r="386" spans="1:21" ht="27">
      <c r="A386" s="149"/>
      <c r="B386" s="139" t="s">
        <v>13</v>
      </c>
      <c r="C386" s="134"/>
      <c r="D386" s="148"/>
      <c r="E386" s="148"/>
      <c r="F386" s="148"/>
      <c r="G386" s="148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 s="64"/>
    </row>
    <row r="387" spans="1:21" ht="31.5">
      <c r="A387" s="149" t="s">
        <v>43</v>
      </c>
      <c r="B387" s="171" t="s">
        <v>676</v>
      </c>
      <c r="C387" s="134"/>
      <c r="D387" s="148"/>
      <c r="E387" s="148"/>
      <c r="F387" s="148"/>
      <c r="G387" s="148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 s="64"/>
    </row>
    <row r="388" spans="1:21" ht="27">
      <c r="A388" s="149"/>
      <c r="B388" s="139" t="s">
        <v>13</v>
      </c>
      <c r="C388" s="134"/>
      <c r="D388" s="148"/>
      <c r="E388" s="148"/>
      <c r="F388" s="148"/>
      <c r="G388" s="14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 s="64"/>
    </row>
    <row r="389" spans="1:21" ht="21">
      <c r="A389" s="149" t="s">
        <v>44</v>
      </c>
      <c r="B389" s="171" t="s">
        <v>676</v>
      </c>
      <c r="C389" s="134"/>
      <c r="D389" s="148"/>
      <c r="E389" s="148"/>
      <c r="F389" s="148"/>
      <c r="G389" s="148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 s="64"/>
    </row>
    <row r="390" spans="1:21" ht="27">
      <c r="A390" s="149"/>
      <c r="B390" s="139" t="s">
        <v>13</v>
      </c>
      <c r="C390" s="134"/>
      <c r="D390" s="148"/>
      <c r="E390" s="148"/>
      <c r="F390" s="148"/>
      <c r="G390" s="148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 s="64"/>
    </row>
    <row r="391" spans="1:21" ht="42">
      <c r="A391" s="160" t="s">
        <v>45</v>
      </c>
      <c r="B391" s="139"/>
      <c r="C391" s="521"/>
      <c r="D391" s="516"/>
      <c r="E391" s="516"/>
      <c r="F391" s="516"/>
      <c r="G391" s="148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 s="64"/>
    </row>
    <row r="392" spans="1:21" ht="18">
      <c r="A392" s="149" t="s">
        <v>46</v>
      </c>
      <c r="B392" s="171" t="s">
        <v>676</v>
      </c>
      <c r="C392" s="523"/>
      <c r="D392" s="517"/>
      <c r="E392" s="517"/>
      <c r="F392" s="517"/>
      <c r="G392" s="148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 s="64"/>
    </row>
    <row r="393" spans="1:21" ht="12.75">
      <c r="A393" s="149" t="s">
        <v>173</v>
      </c>
      <c r="B393" s="139"/>
      <c r="C393" s="134"/>
      <c r="D393" s="517"/>
      <c r="E393" s="517"/>
      <c r="F393" s="517"/>
      <c r="G393" s="148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 s="64"/>
    </row>
    <row r="394" spans="1:21" ht="18">
      <c r="A394" s="157" t="s">
        <v>47</v>
      </c>
      <c r="B394" s="171" t="s">
        <v>676</v>
      </c>
      <c r="C394" s="134"/>
      <c r="D394" s="517"/>
      <c r="E394" s="517"/>
      <c r="F394" s="517"/>
      <c r="G394" s="148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 s="64"/>
    </row>
    <row r="395" spans="1:21" ht="18">
      <c r="A395" s="157" t="s">
        <v>48</v>
      </c>
      <c r="B395" s="171" t="s">
        <v>676</v>
      </c>
      <c r="C395" s="134"/>
      <c r="D395" s="517"/>
      <c r="E395" s="517"/>
      <c r="F395" s="517"/>
      <c r="G395" s="148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 s="64"/>
    </row>
    <row r="396" spans="1:21" ht="18">
      <c r="A396" s="149" t="s">
        <v>49</v>
      </c>
      <c r="B396" s="171" t="s">
        <v>676</v>
      </c>
      <c r="C396" s="134"/>
      <c r="D396" s="517"/>
      <c r="E396" s="517"/>
      <c r="F396" s="517"/>
      <c r="G396" s="148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 s="64"/>
    </row>
    <row r="397" spans="1:21" ht="12.75">
      <c r="A397" s="149" t="s">
        <v>173</v>
      </c>
      <c r="B397" s="139"/>
      <c r="C397" s="134"/>
      <c r="D397" s="517"/>
      <c r="E397" s="517"/>
      <c r="F397" s="517"/>
      <c r="G397" s="148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 s="64"/>
    </row>
    <row r="398" spans="1:21" ht="18">
      <c r="A398" s="157" t="s">
        <v>50</v>
      </c>
      <c r="B398" s="171" t="s">
        <v>676</v>
      </c>
      <c r="C398" s="134"/>
      <c r="D398" s="517"/>
      <c r="E398" s="517"/>
      <c r="F398" s="517"/>
      <c r="G398" s="14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 s="64"/>
    </row>
    <row r="399" spans="1:21" ht="18">
      <c r="A399" s="173" t="s">
        <v>51</v>
      </c>
      <c r="B399" s="171" t="s">
        <v>676</v>
      </c>
      <c r="C399" s="134"/>
      <c r="D399" s="517"/>
      <c r="E399" s="517"/>
      <c r="F399" s="517"/>
      <c r="G399" s="148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 s="64"/>
    </row>
    <row r="400" spans="1:21" ht="18">
      <c r="A400" s="157" t="s">
        <v>52</v>
      </c>
      <c r="B400" s="171" t="s">
        <v>676</v>
      </c>
      <c r="C400" s="134"/>
      <c r="D400" s="517"/>
      <c r="E400" s="517"/>
      <c r="F400" s="517"/>
      <c r="G400" s="148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 s="64"/>
    </row>
    <row r="401" spans="1:21" ht="18">
      <c r="A401" s="157" t="s">
        <v>53</v>
      </c>
      <c r="B401" s="171" t="s">
        <v>676</v>
      </c>
      <c r="C401" s="134"/>
      <c r="D401" s="517"/>
      <c r="E401" s="517"/>
      <c r="F401" s="517"/>
      <c r="G401" s="148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 s="64"/>
    </row>
    <row r="402" spans="1:21" ht="12.75">
      <c r="A402" s="157" t="s">
        <v>251</v>
      </c>
      <c r="B402" s="139"/>
      <c r="C402" s="134"/>
      <c r="D402" s="517"/>
      <c r="E402" s="517"/>
      <c r="F402" s="517"/>
      <c r="G402" s="148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 s="64"/>
    </row>
    <row r="403" spans="1:21" ht="18">
      <c r="A403" s="173" t="s">
        <v>54</v>
      </c>
      <c r="B403" s="171" t="s">
        <v>676</v>
      </c>
      <c r="C403" s="134"/>
      <c r="D403" s="517"/>
      <c r="E403" s="517"/>
      <c r="F403" s="517"/>
      <c r="G403" s="148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 s="64"/>
    </row>
    <row r="404" spans="1:21" ht="21">
      <c r="A404" s="174" t="s">
        <v>55</v>
      </c>
      <c r="B404" s="171" t="s">
        <v>676</v>
      </c>
      <c r="C404" s="134"/>
      <c r="D404" s="517"/>
      <c r="E404" s="517"/>
      <c r="F404" s="517"/>
      <c r="G404" s="148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 s="64"/>
    </row>
    <row r="405" spans="1:21" ht="18">
      <c r="A405" s="173" t="s">
        <v>56</v>
      </c>
      <c r="B405" s="171" t="s">
        <v>676</v>
      </c>
      <c r="C405" s="134"/>
      <c r="D405" s="517"/>
      <c r="E405" s="517"/>
      <c r="F405" s="517"/>
      <c r="G405" s="148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 s="64"/>
    </row>
    <row r="406" spans="1:21" ht="18">
      <c r="A406" s="157" t="s">
        <v>57</v>
      </c>
      <c r="B406" s="171" t="s">
        <v>676</v>
      </c>
      <c r="C406" s="134"/>
      <c r="D406" s="517"/>
      <c r="E406" s="517"/>
      <c r="F406" s="517"/>
      <c r="G406" s="148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 s="64"/>
    </row>
    <row r="407" spans="1:21" ht="18">
      <c r="A407" s="157" t="s">
        <v>58</v>
      </c>
      <c r="B407" s="171" t="s">
        <v>676</v>
      </c>
      <c r="C407" s="134"/>
      <c r="D407" s="518"/>
      <c r="E407" s="518"/>
      <c r="F407" s="518"/>
      <c r="G407" s="148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 s="64"/>
    </row>
    <row r="408" spans="1:21" ht="18">
      <c r="A408" s="173" t="s">
        <v>59</v>
      </c>
      <c r="B408" s="171" t="s">
        <v>676</v>
      </c>
      <c r="C408" s="134"/>
      <c r="D408" s="156"/>
      <c r="E408" s="156"/>
      <c r="F408" s="156"/>
      <c r="G408" s="14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 s="64"/>
    </row>
    <row r="409" spans="1:21" ht="42">
      <c r="A409" s="160" t="s">
        <v>60</v>
      </c>
      <c r="B409" s="139" t="s">
        <v>676</v>
      </c>
      <c r="C409" s="134"/>
      <c r="D409" s="148"/>
      <c r="E409" s="148"/>
      <c r="F409" s="148"/>
      <c r="G409" s="148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 s="64"/>
    </row>
    <row r="410" spans="1:21" ht="12.75">
      <c r="A410" s="138" t="s">
        <v>61</v>
      </c>
      <c r="B410" s="139"/>
      <c r="C410" s="134"/>
      <c r="D410" s="148"/>
      <c r="E410" s="148"/>
      <c r="F410" s="148"/>
      <c r="G410" s="148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 s="64"/>
    </row>
    <row r="411" spans="1:21" ht="18">
      <c r="A411" s="149" t="s">
        <v>62</v>
      </c>
      <c r="B411" s="139" t="s">
        <v>676</v>
      </c>
      <c r="C411" s="134"/>
      <c r="D411" s="148"/>
      <c r="E411" s="148"/>
      <c r="F411" s="148"/>
      <c r="G411" s="148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 s="64"/>
    </row>
    <row r="412" spans="1:21" ht="21">
      <c r="A412" s="149" t="s">
        <v>63</v>
      </c>
      <c r="B412" s="139" t="s">
        <v>676</v>
      </c>
      <c r="C412" s="134"/>
      <c r="D412" s="148"/>
      <c r="E412" s="148"/>
      <c r="F412" s="148"/>
      <c r="G412" s="148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 s="64"/>
    </row>
    <row r="413" spans="1:21" ht="12.75">
      <c r="A413" s="160" t="s">
        <v>659</v>
      </c>
      <c r="B413" s="139" t="s">
        <v>64</v>
      </c>
      <c r="C413" s="134"/>
      <c r="D413" s="516"/>
      <c r="E413" s="516"/>
      <c r="F413" s="516"/>
      <c r="G413" s="5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 s="64"/>
    </row>
    <row r="414" spans="1:21" ht="12.75">
      <c r="A414" s="175"/>
      <c r="B414" s="139" t="s">
        <v>664</v>
      </c>
      <c r="C414" s="134"/>
      <c r="D414" s="517"/>
      <c r="E414" s="517"/>
      <c r="F414" s="517"/>
      <c r="G414" s="51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 s="64"/>
    </row>
    <row r="415" spans="1:21" ht="12.75">
      <c r="A415" s="149" t="s">
        <v>65</v>
      </c>
      <c r="B415" s="139" t="s">
        <v>64</v>
      </c>
      <c r="C415" s="134"/>
      <c r="D415" s="517"/>
      <c r="E415" s="517"/>
      <c r="F415" s="517"/>
      <c r="G415" s="517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 s="64"/>
    </row>
    <row r="416" spans="1:21" ht="12.75">
      <c r="A416" s="149"/>
      <c r="B416" s="139" t="s">
        <v>664</v>
      </c>
      <c r="C416" s="134"/>
      <c r="D416" s="517"/>
      <c r="E416" s="517"/>
      <c r="F416" s="517"/>
      <c r="G416" s="517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 s="64"/>
    </row>
    <row r="417" spans="1:21" ht="12.75">
      <c r="A417" s="149" t="s">
        <v>66</v>
      </c>
      <c r="B417" s="139" t="s">
        <v>64</v>
      </c>
      <c r="C417" s="134"/>
      <c r="D417" s="517"/>
      <c r="E417" s="517"/>
      <c r="F417" s="517"/>
      <c r="G417" s="5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 s="64"/>
    </row>
    <row r="418" spans="1:21" ht="12.75">
      <c r="A418" s="149"/>
      <c r="B418" s="139" t="s">
        <v>664</v>
      </c>
      <c r="C418" s="134"/>
      <c r="D418" s="517"/>
      <c r="E418" s="517"/>
      <c r="F418" s="517"/>
      <c r="G418" s="517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 s="64"/>
    </row>
    <row r="419" spans="1:21" ht="31.5">
      <c r="A419" s="149" t="s">
        <v>67</v>
      </c>
      <c r="B419" s="139" t="s">
        <v>64</v>
      </c>
      <c r="C419" s="134"/>
      <c r="D419" s="518"/>
      <c r="E419" s="518"/>
      <c r="F419" s="518"/>
      <c r="G419" s="518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 s="64"/>
    </row>
    <row r="420" spans="1:21" ht="12.75">
      <c r="A420" s="175"/>
      <c r="B420" s="139" t="s">
        <v>664</v>
      </c>
      <c r="C420" s="134"/>
      <c r="D420" s="148"/>
      <c r="E420" s="148"/>
      <c r="F420" s="148"/>
      <c r="G420" s="148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 s="64"/>
    </row>
    <row r="421" spans="1:21" ht="21">
      <c r="A421" s="138" t="s">
        <v>68</v>
      </c>
      <c r="B421" s="139" t="s">
        <v>676</v>
      </c>
      <c r="C421" s="134"/>
      <c r="D421" s="148"/>
      <c r="E421" s="148"/>
      <c r="F421" s="148"/>
      <c r="G421" s="148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 s="64"/>
    </row>
    <row r="422" spans="1:21" ht="18">
      <c r="A422" s="149"/>
      <c r="B422" s="139" t="s">
        <v>677</v>
      </c>
      <c r="C422" s="134"/>
      <c r="D422" s="148"/>
      <c r="E422" s="148"/>
      <c r="F422" s="148"/>
      <c r="G422" s="148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 s="64"/>
    </row>
    <row r="423" spans="1:21" ht="12.75">
      <c r="A423" s="149"/>
      <c r="B423" s="139" t="s">
        <v>678</v>
      </c>
      <c r="C423" s="134"/>
      <c r="D423" s="148"/>
      <c r="E423" s="148"/>
      <c r="F423" s="148"/>
      <c r="G423" s="148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 s="64"/>
    </row>
    <row r="424" spans="1:21" ht="12.75">
      <c r="A424" s="175"/>
      <c r="B424" s="139"/>
      <c r="C424" s="134"/>
      <c r="D424" s="148"/>
      <c r="E424" s="148"/>
      <c r="F424" s="148"/>
      <c r="G424" s="148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 s="64"/>
    </row>
    <row r="425" spans="1:21" ht="18">
      <c r="A425" s="138" t="s">
        <v>69</v>
      </c>
      <c r="B425" s="139" t="s">
        <v>676</v>
      </c>
      <c r="C425" s="134"/>
      <c r="D425" s="516"/>
      <c r="E425" s="516"/>
      <c r="F425" s="516"/>
      <c r="G425" s="148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 s="64"/>
    </row>
    <row r="426" spans="1:21" ht="21">
      <c r="A426" s="138" t="s">
        <v>70</v>
      </c>
      <c r="B426" s="139" t="s">
        <v>676</v>
      </c>
      <c r="C426" s="134"/>
      <c r="D426" s="517"/>
      <c r="E426" s="517"/>
      <c r="F426" s="517"/>
      <c r="G426" s="148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 s="64"/>
    </row>
    <row r="427" spans="1:21" ht="21">
      <c r="A427" s="138" t="s">
        <v>71</v>
      </c>
      <c r="B427" s="139" t="s">
        <v>676</v>
      </c>
      <c r="C427" s="134"/>
      <c r="D427" s="518"/>
      <c r="E427" s="518"/>
      <c r="F427" s="518"/>
      <c r="G427" s="148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 s="64"/>
    </row>
    <row r="428" spans="1:21" ht="12.75">
      <c r="A428" s="164"/>
      <c r="B428" s="164"/>
      <c r="C428"/>
      <c r="D428" s="176"/>
      <c r="E428" s="176"/>
      <c r="F428" s="176"/>
      <c r="G428" s="17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 s="64"/>
    </row>
    <row r="429" spans="1:21" ht="14.25">
      <c r="A429" s="215" t="s">
        <v>72</v>
      </c>
      <c r="B429" s="151"/>
      <c r="C429" s="134"/>
      <c r="D429" s="148"/>
      <c r="E429" s="148"/>
      <c r="F429" s="148"/>
      <c r="G429" s="148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 s="64"/>
    </row>
    <row r="430" spans="1:21" ht="12.75">
      <c r="A430" s="214" t="s">
        <v>660</v>
      </c>
      <c r="B430" s="133"/>
      <c r="C430" s="134"/>
      <c r="D430" s="148"/>
      <c r="E430" s="148"/>
      <c r="F430" s="148"/>
      <c r="G430" s="148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 s="64"/>
    </row>
    <row r="431" spans="1:21" ht="12.75">
      <c r="A431" s="132" t="s">
        <v>319</v>
      </c>
      <c r="B431" s="133" t="s">
        <v>661</v>
      </c>
      <c r="C431" s="134"/>
      <c r="D431" s="521"/>
      <c r="E431" s="516"/>
      <c r="F431" s="516"/>
      <c r="G431" s="5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 s="64"/>
    </row>
    <row r="432" spans="1:21" ht="12.75">
      <c r="A432" s="217" t="s">
        <v>320</v>
      </c>
      <c r="B432" s="133" t="s">
        <v>661</v>
      </c>
      <c r="C432" s="155"/>
      <c r="D432" s="522"/>
      <c r="E432" s="517"/>
      <c r="F432" s="517"/>
      <c r="G432" s="517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 s="64"/>
    </row>
    <row r="433" spans="1:21" ht="12.75">
      <c r="A433" s="132" t="s">
        <v>662</v>
      </c>
      <c r="B433" s="133" t="s">
        <v>661</v>
      </c>
      <c r="C433" s="177"/>
      <c r="D433" s="148"/>
      <c r="E433" s="148"/>
      <c r="F433" s="148"/>
      <c r="G433" s="148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 s="64"/>
    </row>
    <row r="434" spans="1:21" ht="12.75">
      <c r="A434" s="132" t="s">
        <v>321</v>
      </c>
      <c r="B434" s="133" t="s">
        <v>661</v>
      </c>
      <c r="C434" s="178"/>
      <c r="D434" s="148"/>
      <c r="E434" s="148"/>
      <c r="F434" s="148"/>
      <c r="G434" s="148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 s="64"/>
    </row>
    <row r="435" spans="1:21" ht="12.75">
      <c r="A435" s="137" t="s">
        <v>322</v>
      </c>
      <c r="B435" s="133" t="s">
        <v>661</v>
      </c>
      <c r="C435" s="521"/>
      <c r="D435" s="148"/>
      <c r="E435" s="148"/>
      <c r="F435" s="148"/>
      <c r="G435" s="148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 s="64"/>
    </row>
    <row r="436" spans="1:21" ht="12.75">
      <c r="A436" s="137" t="s">
        <v>73</v>
      </c>
      <c r="B436" s="133" t="s">
        <v>661</v>
      </c>
      <c r="C436" s="522"/>
      <c r="D436" s="148"/>
      <c r="E436" s="148"/>
      <c r="F436" s="148"/>
      <c r="G436" s="148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 s="64"/>
    </row>
    <row r="437" spans="1:21" ht="12.75">
      <c r="A437" s="132" t="s">
        <v>323</v>
      </c>
      <c r="B437" s="133" t="s">
        <v>661</v>
      </c>
      <c r="C437" s="522"/>
      <c r="D437" s="148"/>
      <c r="E437" s="148"/>
      <c r="F437" s="148"/>
      <c r="G437" s="148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 s="64"/>
    </row>
    <row r="438" spans="1:21" ht="21">
      <c r="A438" s="132" t="s">
        <v>324</v>
      </c>
      <c r="B438" s="133" t="s">
        <v>661</v>
      </c>
      <c r="C438" s="522"/>
      <c r="D438" s="148"/>
      <c r="E438" s="148"/>
      <c r="F438" s="148"/>
      <c r="G438" s="14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 s="64"/>
    </row>
    <row r="439" spans="1:21" ht="12.75">
      <c r="A439" s="137" t="s">
        <v>173</v>
      </c>
      <c r="B439" s="133"/>
      <c r="C439" s="522"/>
      <c r="D439" s="148"/>
      <c r="E439" s="148"/>
      <c r="F439" s="148"/>
      <c r="G439" s="148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 s="64"/>
    </row>
    <row r="440" spans="1:21" ht="12.75">
      <c r="A440" s="137" t="s">
        <v>325</v>
      </c>
      <c r="B440" s="133" t="s">
        <v>661</v>
      </c>
      <c r="C440" s="522"/>
      <c r="D440" s="148"/>
      <c r="E440" s="148"/>
      <c r="F440" s="148"/>
      <c r="G440" s="148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 s="64"/>
    </row>
    <row r="441" spans="1:21" ht="12.75">
      <c r="A441" s="137" t="s">
        <v>326</v>
      </c>
      <c r="B441" s="133" t="s">
        <v>661</v>
      </c>
      <c r="C441" s="522"/>
      <c r="D441" s="148"/>
      <c r="E441" s="148"/>
      <c r="F441" s="148"/>
      <c r="G441" s="148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 s="64"/>
    </row>
    <row r="442" spans="1:21" ht="12.75">
      <c r="A442" s="132" t="s">
        <v>327</v>
      </c>
      <c r="B442" s="133" t="s">
        <v>661</v>
      </c>
      <c r="C442" s="522"/>
      <c r="D442" s="148"/>
      <c r="E442" s="148"/>
      <c r="F442" s="148"/>
      <c r="G442" s="148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 s="64"/>
    </row>
    <row r="443" spans="1:21" ht="12.75">
      <c r="A443" s="132" t="s">
        <v>328</v>
      </c>
      <c r="B443" s="133" t="s">
        <v>661</v>
      </c>
      <c r="C443" s="522"/>
      <c r="D443" s="148"/>
      <c r="E443" s="148"/>
      <c r="F443" s="148"/>
      <c r="G443" s="148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 s="64"/>
    </row>
    <row r="444" spans="1:21" ht="21">
      <c r="A444" s="132" t="s">
        <v>329</v>
      </c>
      <c r="B444" s="133" t="s">
        <v>661</v>
      </c>
      <c r="C444" s="522"/>
      <c r="D444" s="148"/>
      <c r="E444" s="148"/>
      <c r="F444" s="148"/>
      <c r="G444" s="148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 s="64"/>
    </row>
    <row r="445" spans="1:21" ht="12.75">
      <c r="A445" s="132" t="s">
        <v>173</v>
      </c>
      <c r="B445" s="133"/>
      <c r="C445" s="522"/>
      <c r="D445" s="148"/>
      <c r="E445" s="148"/>
      <c r="F445" s="148"/>
      <c r="G445" s="148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 s="64"/>
    </row>
    <row r="446" spans="1:21" ht="12.75">
      <c r="A446" s="137" t="s">
        <v>74</v>
      </c>
      <c r="B446" s="133" t="s">
        <v>661</v>
      </c>
      <c r="C446" s="522"/>
      <c r="D446" s="148"/>
      <c r="E446" s="148"/>
      <c r="F446" s="148"/>
      <c r="G446" s="148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 s="64"/>
    </row>
    <row r="447" spans="1:21" ht="12.75">
      <c r="A447" s="132" t="s">
        <v>349</v>
      </c>
      <c r="B447" s="133" t="s">
        <v>661</v>
      </c>
      <c r="C447" s="523"/>
      <c r="D447" s="148"/>
      <c r="E447" s="148"/>
      <c r="F447" s="148"/>
      <c r="G447" s="148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 s="64"/>
    </row>
    <row r="448" spans="1:21" ht="12.75">
      <c r="A448" s="132" t="s">
        <v>171</v>
      </c>
      <c r="B448" s="133" t="s">
        <v>661</v>
      </c>
      <c r="C448" s="134"/>
      <c r="D448" s="148"/>
      <c r="E448" s="148"/>
      <c r="F448" s="148"/>
      <c r="G448" s="1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 s="64"/>
    </row>
    <row r="449" spans="1:21" ht="12.75">
      <c r="A449" s="132" t="s">
        <v>183</v>
      </c>
      <c r="B449" s="133" t="s">
        <v>661</v>
      </c>
      <c r="C449" s="521"/>
      <c r="D449" s="148"/>
      <c r="E449" s="148"/>
      <c r="F449" s="148"/>
      <c r="G449" s="148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 s="64"/>
    </row>
    <row r="450" spans="1:21" ht="12.75">
      <c r="A450" s="218" t="s">
        <v>330</v>
      </c>
      <c r="B450" s="133" t="s">
        <v>661</v>
      </c>
      <c r="C450" s="522"/>
      <c r="D450" s="148"/>
      <c r="E450" s="148"/>
      <c r="F450" s="148"/>
      <c r="G450" s="148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 s="64"/>
    </row>
    <row r="451" spans="1:21" ht="21">
      <c r="A451" s="132" t="s">
        <v>331</v>
      </c>
      <c r="B451" s="133" t="s">
        <v>661</v>
      </c>
      <c r="C451" s="522"/>
      <c r="D451" s="148"/>
      <c r="E451" s="148"/>
      <c r="F451" s="148"/>
      <c r="G451" s="148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 s="64"/>
    </row>
    <row r="452" spans="1:21" ht="21">
      <c r="A452" s="132" t="s">
        <v>184</v>
      </c>
      <c r="B452" s="133" t="s">
        <v>661</v>
      </c>
      <c r="C452" s="522"/>
      <c r="D452" s="148"/>
      <c r="E452" s="148"/>
      <c r="F452" s="148"/>
      <c r="G452" s="148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 s="64"/>
    </row>
    <row r="453" spans="1:21" ht="12.75">
      <c r="A453" s="137" t="s">
        <v>225</v>
      </c>
      <c r="B453" s="133" t="s">
        <v>661</v>
      </c>
      <c r="C453" s="522"/>
      <c r="D453" s="148"/>
      <c r="E453" s="148"/>
      <c r="F453" s="148"/>
      <c r="G453" s="148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 s="64"/>
    </row>
    <row r="454" spans="1:21" ht="31.5">
      <c r="A454" s="137" t="s">
        <v>75</v>
      </c>
      <c r="B454" s="133" t="s">
        <v>661</v>
      </c>
      <c r="C454" s="522"/>
      <c r="D454" s="148"/>
      <c r="E454" s="148"/>
      <c r="F454" s="148"/>
      <c r="G454" s="148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 s="64"/>
    </row>
    <row r="455" spans="1:21" ht="21">
      <c r="A455" s="132" t="s">
        <v>185</v>
      </c>
      <c r="B455" s="133" t="s">
        <v>661</v>
      </c>
      <c r="C455" s="522"/>
      <c r="D455" s="148"/>
      <c r="E455" s="148"/>
      <c r="F455" s="148"/>
      <c r="G455" s="148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 s="64"/>
    </row>
    <row r="456" spans="1:21" ht="12.75">
      <c r="A456" s="137" t="s">
        <v>54</v>
      </c>
      <c r="B456" s="133" t="s">
        <v>661</v>
      </c>
      <c r="C456" s="523"/>
      <c r="D456" s="148"/>
      <c r="E456" s="148"/>
      <c r="F456" s="148"/>
      <c r="G456" s="148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 s="64"/>
    </row>
    <row r="457" spans="1:21" ht="12.75">
      <c r="A457" s="137" t="s">
        <v>76</v>
      </c>
      <c r="B457" s="133" t="s">
        <v>661</v>
      </c>
      <c r="C457" s="179"/>
      <c r="D457" s="148"/>
      <c r="E457" s="148"/>
      <c r="F457" s="148"/>
      <c r="G457" s="148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 s="64"/>
    </row>
    <row r="458" spans="1:21" ht="12.75">
      <c r="A458" s="219" t="s">
        <v>186</v>
      </c>
      <c r="B458" s="133" t="s">
        <v>661</v>
      </c>
      <c r="C458" s="521"/>
      <c r="D458" s="148"/>
      <c r="E458" s="148"/>
      <c r="F458" s="148"/>
      <c r="G458" s="14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 s="64"/>
    </row>
    <row r="459" spans="1:21" ht="12.75">
      <c r="A459" s="214" t="s">
        <v>187</v>
      </c>
      <c r="B459" s="133"/>
      <c r="C459" s="522"/>
      <c r="D459" s="148"/>
      <c r="E459" s="148"/>
      <c r="F459" s="148"/>
      <c r="G459" s="148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 s="64"/>
    </row>
    <row r="460" spans="1:21" ht="21">
      <c r="A460" s="132" t="s">
        <v>332</v>
      </c>
      <c r="B460" s="133" t="s">
        <v>661</v>
      </c>
      <c r="C460" s="522"/>
      <c r="D460" s="148"/>
      <c r="E460" s="148"/>
      <c r="F460" s="148"/>
      <c r="G460" s="148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 s="64"/>
    </row>
    <row r="461" spans="1:21" ht="12.75">
      <c r="A461" s="132" t="s">
        <v>173</v>
      </c>
      <c r="B461" s="133"/>
      <c r="C461" s="522"/>
      <c r="D461" s="148"/>
      <c r="E461" s="148"/>
      <c r="F461" s="148"/>
      <c r="G461" s="148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 s="64"/>
    </row>
    <row r="462" spans="1:21" ht="12.75">
      <c r="A462" s="137" t="s">
        <v>333</v>
      </c>
      <c r="B462" s="133" t="s">
        <v>661</v>
      </c>
      <c r="C462" s="522"/>
      <c r="D462" s="148"/>
      <c r="E462" s="148"/>
      <c r="F462" s="148"/>
      <c r="G462" s="148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 s="64"/>
    </row>
    <row r="463" spans="1:21" ht="12.75">
      <c r="A463" s="132" t="s">
        <v>188</v>
      </c>
      <c r="B463" s="133" t="s">
        <v>661</v>
      </c>
      <c r="C463" s="522"/>
      <c r="D463" s="148"/>
      <c r="E463" s="148"/>
      <c r="F463" s="148"/>
      <c r="G463" s="148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 s="64"/>
    </row>
    <row r="464" spans="1:21" ht="12.75">
      <c r="A464" s="132" t="s">
        <v>77</v>
      </c>
      <c r="B464" s="133"/>
      <c r="C464" s="522"/>
      <c r="D464" s="148"/>
      <c r="E464" s="148"/>
      <c r="F464" s="148"/>
      <c r="G464" s="148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 s="64"/>
    </row>
    <row r="465" spans="1:21" ht="12.75">
      <c r="A465" s="137" t="s">
        <v>78</v>
      </c>
      <c r="B465" s="133" t="s">
        <v>661</v>
      </c>
      <c r="C465" s="522"/>
      <c r="D465" s="148"/>
      <c r="E465" s="148"/>
      <c r="F465" s="148"/>
      <c r="G465" s="148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 s="64"/>
    </row>
    <row r="466" spans="1:21" ht="12.75">
      <c r="A466" s="137" t="s">
        <v>334</v>
      </c>
      <c r="B466" s="133" t="s">
        <v>661</v>
      </c>
      <c r="C466" s="522"/>
      <c r="D466" s="148"/>
      <c r="E466" s="148"/>
      <c r="F466" s="148"/>
      <c r="G466" s="148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 s="64"/>
    </row>
    <row r="467" spans="1:21" ht="12.75">
      <c r="A467" s="132" t="s">
        <v>335</v>
      </c>
      <c r="B467" s="133" t="s">
        <v>661</v>
      </c>
      <c r="C467" s="522"/>
      <c r="D467" s="148"/>
      <c r="E467" s="148"/>
      <c r="F467" s="148"/>
      <c r="G467" s="148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 s="64"/>
    </row>
    <row r="468" spans="1:21" ht="21">
      <c r="A468" s="137" t="s">
        <v>338</v>
      </c>
      <c r="B468" s="133" t="s">
        <v>661</v>
      </c>
      <c r="C468" s="522"/>
      <c r="D468" s="148"/>
      <c r="E468" s="148"/>
      <c r="F468" s="148"/>
      <c r="G468" s="14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 s="64"/>
    </row>
    <row r="469" spans="1:21" ht="12.75">
      <c r="A469" s="137" t="s">
        <v>336</v>
      </c>
      <c r="B469" s="133" t="s">
        <v>661</v>
      </c>
      <c r="C469" s="522"/>
      <c r="D469" s="148"/>
      <c r="E469" s="148"/>
      <c r="F469" s="148"/>
      <c r="G469" s="148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 s="64"/>
    </row>
    <row r="470" spans="1:21" ht="12.75">
      <c r="A470" s="132" t="s">
        <v>339</v>
      </c>
      <c r="B470" s="133" t="s">
        <v>661</v>
      </c>
      <c r="C470" s="522"/>
      <c r="D470" s="148"/>
      <c r="E470" s="148"/>
      <c r="F470" s="148"/>
      <c r="G470" s="148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 s="64"/>
    </row>
    <row r="471" spans="1:21" ht="21">
      <c r="A471" s="132" t="s">
        <v>340</v>
      </c>
      <c r="B471" s="133" t="s">
        <v>661</v>
      </c>
      <c r="C471" s="522"/>
      <c r="D471" s="148"/>
      <c r="E471" s="148"/>
      <c r="F471" s="148"/>
      <c r="G471" s="148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 s="64"/>
    </row>
    <row r="472" spans="1:21" ht="12.75">
      <c r="A472" s="132" t="s">
        <v>341</v>
      </c>
      <c r="B472" s="133" t="s">
        <v>661</v>
      </c>
      <c r="C472" s="522"/>
      <c r="D472" s="148"/>
      <c r="E472" s="148"/>
      <c r="F472" s="148"/>
      <c r="G472" s="148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 s="63"/>
    </row>
    <row r="473" spans="1:21" ht="12.75">
      <c r="A473" s="132" t="s">
        <v>342</v>
      </c>
      <c r="B473" s="133" t="s">
        <v>661</v>
      </c>
      <c r="C473" s="522"/>
      <c r="D473" s="148"/>
      <c r="E473" s="148"/>
      <c r="F473" s="148"/>
      <c r="G473" s="148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 s="63"/>
    </row>
    <row r="474" spans="1:21" ht="12.75">
      <c r="A474" s="132" t="s">
        <v>343</v>
      </c>
      <c r="B474" s="133" t="s">
        <v>661</v>
      </c>
      <c r="C474" s="522"/>
      <c r="D474" s="148"/>
      <c r="E474" s="148"/>
      <c r="F474" s="148"/>
      <c r="G474" s="148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 s="63"/>
    </row>
    <row r="475" spans="1:21" ht="12.75">
      <c r="A475" s="132" t="s">
        <v>344</v>
      </c>
      <c r="B475" s="133" t="s">
        <v>661</v>
      </c>
      <c r="C475" s="522"/>
      <c r="D475" s="148"/>
      <c r="E475" s="148"/>
      <c r="F475" s="148"/>
      <c r="G475" s="148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 s="63"/>
    </row>
    <row r="476" spans="1:21" ht="12.75">
      <c r="A476" s="137" t="s">
        <v>173</v>
      </c>
      <c r="B476" s="133"/>
      <c r="C476" s="522"/>
      <c r="D476" s="148"/>
      <c r="E476" s="148"/>
      <c r="F476" s="148"/>
      <c r="G476" s="148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 s="63"/>
    </row>
    <row r="477" spans="1:21" ht="12.75">
      <c r="A477" s="137" t="s">
        <v>79</v>
      </c>
      <c r="B477" s="133" t="s">
        <v>661</v>
      </c>
      <c r="C477" s="522"/>
      <c r="D477" s="148"/>
      <c r="E477" s="148"/>
      <c r="F477" s="148"/>
      <c r="G477" s="148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 s="63"/>
    </row>
    <row r="478" spans="1:21" ht="21">
      <c r="A478" s="137" t="s">
        <v>345</v>
      </c>
      <c r="B478" s="133" t="s">
        <v>661</v>
      </c>
      <c r="C478" s="522"/>
      <c r="D478" s="148"/>
      <c r="E478" s="148"/>
      <c r="F478" s="148"/>
      <c r="G478" s="14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 s="63"/>
    </row>
    <row r="479" spans="1:21" ht="12.75">
      <c r="A479" s="137" t="s">
        <v>346</v>
      </c>
      <c r="B479" s="133" t="s">
        <v>661</v>
      </c>
      <c r="C479" s="522"/>
      <c r="D479" s="148"/>
      <c r="E479" s="148"/>
      <c r="F479" s="148"/>
      <c r="G479" s="148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 s="63"/>
    </row>
    <row r="480" spans="1:21" ht="12.75">
      <c r="A480" s="137" t="s">
        <v>80</v>
      </c>
      <c r="B480" s="133" t="s">
        <v>661</v>
      </c>
      <c r="C480" s="522"/>
      <c r="D480" s="148"/>
      <c r="E480" s="148"/>
      <c r="F480" s="148"/>
      <c r="G480" s="148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 s="63"/>
    </row>
    <row r="481" spans="1:21" ht="12.75">
      <c r="A481" s="213" t="s">
        <v>251</v>
      </c>
      <c r="B481" s="133"/>
      <c r="C481" s="522"/>
      <c r="D481" s="148"/>
      <c r="E481" s="148"/>
      <c r="F481" s="148"/>
      <c r="G481" s="148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 s="63"/>
    </row>
    <row r="482" spans="1:21" ht="12.75">
      <c r="A482" s="213" t="s">
        <v>81</v>
      </c>
      <c r="B482" s="133" t="s">
        <v>661</v>
      </c>
      <c r="C482" s="522"/>
      <c r="D482" s="148"/>
      <c r="E482" s="148"/>
      <c r="F482" s="148"/>
      <c r="G482" s="148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 s="63"/>
    </row>
    <row r="483" spans="1:21" ht="12.75">
      <c r="A483" s="213" t="s">
        <v>82</v>
      </c>
      <c r="B483" s="133" t="s">
        <v>661</v>
      </c>
      <c r="C483" s="522"/>
      <c r="D483" s="148"/>
      <c r="E483" s="148"/>
      <c r="F483" s="148"/>
      <c r="G483" s="148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 s="64"/>
    </row>
    <row r="484" spans="1:21" ht="12.75">
      <c r="A484" s="213" t="s">
        <v>83</v>
      </c>
      <c r="B484" s="133" t="s">
        <v>661</v>
      </c>
      <c r="C484" s="522"/>
      <c r="D484" s="148"/>
      <c r="E484" s="148"/>
      <c r="F484" s="148"/>
      <c r="G484" s="148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 s="63"/>
    </row>
    <row r="485" spans="1:21" ht="21">
      <c r="A485" s="213" t="s">
        <v>84</v>
      </c>
      <c r="B485" s="133" t="s">
        <v>661</v>
      </c>
      <c r="C485" s="522"/>
      <c r="D485" s="148"/>
      <c r="E485" s="148"/>
      <c r="F485" s="148"/>
      <c r="G485" s="148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 s="63"/>
    </row>
    <row r="486" spans="1:21" ht="21">
      <c r="A486" s="213" t="s">
        <v>347</v>
      </c>
      <c r="B486" s="133" t="s">
        <v>661</v>
      </c>
      <c r="C486" s="522"/>
      <c r="D486" s="148"/>
      <c r="E486" s="148"/>
      <c r="F486" s="148"/>
      <c r="G486" s="148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 s="63"/>
    </row>
    <row r="487" spans="1:21" ht="12.75">
      <c r="A487" s="132" t="s">
        <v>568</v>
      </c>
      <c r="B487" s="133" t="s">
        <v>661</v>
      </c>
      <c r="C487" s="522"/>
      <c r="D487" s="148"/>
      <c r="E487" s="148"/>
      <c r="F487" s="148"/>
      <c r="G487" s="148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 s="63"/>
    </row>
    <row r="488" spans="1:21" ht="12.75">
      <c r="A488" s="218" t="s">
        <v>318</v>
      </c>
      <c r="B488" s="133" t="s">
        <v>661</v>
      </c>
      <c r="C488" s="522"/>
      <c r="D488" s="148"/>
      <c r="E488" s="148"/>
      <c r="F488" s="148"/>
      <c r="G488" s="14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 s="64"/>
    </row>
    <row r="489" spans="1:21" ht="21">
      <c r="A489" s="132" t="s">
        <v>348</v>
      </c>
      <c r="B489" s="133" t="s">
        <v>661</v>
      </c>
      <c r="C489" s="523"/>
      <c r="D489" s="148"/>
      <c r="E489" s="148"/>
      <c r="F489" s="148"/>
      <c r="G489" s="148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 s="63"/>
    </row>
    <row r="490" spans="1:21" ht="12.75">
      <c r="B490" s="133"/>
      <c r="C490" s="155"/>
      <c r="D490" s="148"/>
      <c r="E490" s="148"/>
      <c r="F490" s="148"/>
      <c r="G490" s="148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 s="63"/>
    </row>
    <row r="491" spans="1:21" ht="28.5">
      <c r="A491" s="167" t="s">
        <v>85</v>
      </c>
      <c r="B491" s="159"/>
      <c r="C491" s="134"/>
      <c r="D491" s="148"/>
      <c r="E491" s="148"/>
      <c r="F491" s="148"/>
      <c r="G491" s="148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 s="64"/>
    </row>
    <row r="492" spans="1:21" ht="12.75">
      <c r="A492" s="160" t="s">
        <v>354</v>
      </c>
      <c r="B492" s="139" t="s">
        <v>661</v>
      </c>
      <c r="C492" s="134"/>
      <c r="D492" s="516"/>
      <c r="E492" s="516"/>
      <c r="F492" s="148"/>
      <c r="G492" s="148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 s="64"/>
    </row>
    <row r="493" spans="1:21" s="42" customFormat="1" ht="12.75">
      <c r="A493" s="138" t="s">
        <v>251</v>
      </c>
      <c r="B493" s="139"/>
      <c r="C493" s="134"/>
      <c r="D493" s="517"/>
      <c r="E493" s="517"/>
      <c r="F493" s="148"/>
      <c r="G493" s="148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 s="64"/>
    </row>
    <row r="494" spans="1:21" s="42" customFormat="1" ht="12.75">
      <c r="A494" s="149" t="s">
        <v>86</v>
      </c>
      <c r="B494" s="139" t="s">
        <v>661</v>
      </c>
      <c r="C494" s="134"/>
      <c r="D494" s="517"/>
      <c r="E494" s="517"/>
      <c r="F494" s="148"/>
      <c r="G494" s="148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 s="64"/>
    </row>
    <row r="495" spans="1:21" ht="12.75">
      <c r="A495" s="149" t="s">
        <v>87</v>
      </c>
      <c r="B495" s="139" t="s">
        <v>661</v>
      </c>
      <c r="C495" s="134"/>
      <c r="D495" s="517"/>
      <c r="E495" s="517"/>
      <c r="F495" s="148"/>
      <c r="G495" s="148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 s="64"/>
    </row>
    <row r="496" spans="1:21" ht="12.75">
      <c r="A496" s="149" t="s">
        <v>88</v>
      </c>
      <c r="B496" s="139" t="s">
        <v>661</v>
      </c>
      <c r="C496" s="134"/>
      <c r="D496" s="517"/>
      <c r="E496" s="517"/>
      <c r="F496" s="148"/>
      <c r="G496" s="148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 s="64"/>
    </row>
    <row r="497" spans="1:21" s="42" customFormat="1" ht="12.75">
      <c r="A497" s="157" t="s">
        <v>89</v>
      </c>
      <c r="B497" s="139" t="s">
        <v>661</v>
      </c>
      <c r="C497" s="134"/>
      <c r="D497" s="517"/>
      <c r="E497" s="517"/>
      <c r="F497" s="148"/>
      <c r="G497" s="148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 s="64"/>
    </row>
    <row r="498" spans="1:21" s="42" customFormat="1" ht="12.75">
      <c r="A498" s="157" t="s">
        <v>90</v>
      </c>
      <c r="B498" s="139" t="s">
        <v>661</v>
      </c>
      <c r="C498" s="134"/>
      <c r="D498" s="517"/>
      <c r="E498" s="517"/>
      <c r="F498" s="148"/>
      <c r="G498" s="14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 s="64"/>
    </row>
    <row r="499" spans="1:21" ht="12.75">
      <c r="A499" s="157" t="s">
        <v>91</v>
      </c>
      <c r="B499" s="139" t="s">
        <v>661</v>
      </c>
      <c r="C499" s="134"/>
      <c r="D499" s="517"/>
      <c r="E499" s="517"/>
      <c r="F499" s="148"/>
      <c r="G499" s="148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 s="64"/>
    </row>
    <row r="500" spans="1:21" ht="12.75">
      <c r="A500" s="149" t="s">
        <v>92</v>
      </c>
      <c r="B500" s="139" t="s">
        <v>661</v>
      </c>
      <c r="C500" s="134"/>
      <c r="D500" s="517"/>
      <c r="E500" s="517"/>
      <c r="F500" s="148"/>
      <c r="G500" s="148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 s="64"/>
    </row>
    <row r="501" spans="1:21" ht="12.75">
      <c r="A501" s="149" t="s">
        <v>93</v>
      </c>
      <c r="B501" s="139" t="s">
        <v>661</v>
      </c>
      <c r="C501" s="134"/>
      <c r="D501" s="517"/>
      <c r="E501" s="517"/>
      <c r="F501" s="148"/>
      <c r="G501" s="148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 s="64"/>
    </row>
    <row r="502" spans="1:21" ht="21">
      <c r="A502" s="138" t="s">
        <v>356</v>
      </c>
      <c r="B502" s="139" t="s">
        <v>664</v>
      </c>
      <c r="C502" s="134"/>
      <c r="D502" s="517"/>
      <c r="E502" s="517"/>
      <c r="F502" s="148"/>
      <c r="G502" s="148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 s="64"/>
    </row>
    <row r="503" spans="1:21" s="42" customFormat="1" ht="21">
      <c r="A503" s="138" t="s">
        <v>94</v>
      </c>
      <c r="B503" s="139" t="s">
        <v>95</v>
      </c>
      <c r="C503" s="134"/>
      <c r="D503" s="517"/>
      <c r="E503" s="517"/>
      <c r="F503" s="148"/>
      <c r="G503" s="148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 s="64"/>
    </row>
    <row r="504" spans="1:21" ht="12.75">
      <c r="A504" s="160" t="s">
        <v>357</v>
      </c>
      <c r="B504" s="139" t="s">
        <v>661</v>
      </c>
      <c r="C504" s="134"/>
      <c r="D504" s="517"/>
      <c r="E504" s="517"/>
      <c r="F504" s="148"/>
      <c r="G504" s="148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 s="63"/>
    </row>
    <row r="505" spans="1:21" ht="12.75">
      <c r="A505" s="138" t="s">
        <v>251</v>
      </c>
      <c r="B505" s="139" t="s">
        <v>189</v>
      </c>
      <c r="C505" s="134"/>
      <c r="D505" s="517"/>
      <c r="E505" s="517"/>
      <c r="F505" s="148"/>
      <c r="G505" s="148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 s="63"/>
    </row>
    <row r="506" spans="1:21" ht="12.75">
      <c r="A506" s="149" t="s">
        <v>358</v>
      </c>
      <c r="B506" s="139" t="s">
        <v>661</v>
      </c>
      <c r="C506" s="134"/>
      <c r="D506" s="517"/>
      <c r="E506" s="517"/>
      <c r="F506" s="148"/>
      <c r="G506" s="148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 s="63"/>
    </row>
    <row r="507" spans="1:21" ht="12.75">
      <c r="A507" s="157" t="s">
        <v>96</v>
      </c>
      <c r="B507" s="139" t="s">
        <v>661</v>
      </c>
      <c r="C507" s="134"/>
      <c r="D507" s="517"/>
      <c r="E507" s="517"/>
      <c r="F507" s="148"/>
      <c r="G507" s="148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 s="63"/>
    </row>
    <row r="508" spans="1:21" s="42" customFormat="1" ht="21">
      <c r="A508" s="149" t="s">
        <v>359</v>
      </c>
      <c r="B508" s="139" t="s">
        <v>661</v>
      </c>
      <c r="C508" s="134"/>
      <c r="D508" s="517"/>
      <c r="E508" s="517"/>
      <c r="F508" s="148"/>
      <c r="G508" s="14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 s="63"/>
    </row>
    <row r="509" spans="1:21" ht="12.75">
      <c r="A509" s="149" t="s">
        <v>97</v>
      </c>
      <c r="B509" s="139" t="s">
        <v>661</v>
      </c>
      <c r="C509" s="134"/>
      <c r="D509" s="517"/>
      <c r="E509" s="517"/>
      <c r="F509" s="148"/>
      <c r="G509" s="148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 s="63"/>
    </row>
    <row r="510" spans="1:21" s="42" customFormat="1" ht="21">
      <c r="A510" s="138" t="s">
        <v>360</v>
      </c>
      <c r="B510" s="139" t="s">
        <v>661</v>
      </c>
      <c r="C510" s="134"/>
      <c r="D510" s="518"/>
      <c r="E510" s="518"/>
      <c r="F510" s="148"/>
      <c r="G510" s="148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 s="63"/>
    </row>
    <row r="511" spans="1:21" ht="31.5">
      <c r="A511" s="138" t="s">
        <v>98</v>
      </c>
      <c r="B511" s="139" t="s">
        <v>361</v>
      </c>
      <c r="C511" s="179"/>
      <c r="D511"/>
      <c r="E511" s="148"/>
      <c r="F511" s="148"/>
      <c r="G511" s="148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 s="63"/>
    </row>
    <row r="512" spans="1:21" ht="12.75">
      <c r="A512" s="138" t="s">
        <v>423</v>
      </c>
      <c r="B512" s="139" t="s">
        <v>664</v>
      </c>
      <c r="C512" s="134"/>
      <c r="D512" s="148"/>
      <c r="E512" s="148"/>
      <c r="F512" s="148"/>
      <c r="G512" s="148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 s="63"/>
    </row>
    <row r="513" spans="1:21" ht="21">
      <c r="A513" s="138" t="s">
        <v>99</v>
      </c>
      <c r="B513" s="139" t="s">
        <v>361</v>
      </c>
      <c r="C513" s="134"/>
      <c r="D513" s="148"/>
      <c r="E513" s="148"/>
      <c r="F513" s="148"/>
      <c r="G513" s="148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 s="63"/>
    </row>
    <row r="514" spans="1:21" ht="31.5">
      <c r="A514" s="138" t="s">
        <v>362</v>
      </c>
      <c r="B514" s="139" t="s">
        <v>279</v>
      </c>
      <c r="C514" s="134"/>
      <c r="D514" s="148"/>
      <c r="E514" s="148"/>
      <c r="F514" s="148"/>
      <c r="G514" s="148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 s="63"/>
    </row>
    <row r="515" spans="1:21" ht="12.75">
      <c r="A515" s="164"/>
      <c r="B515" s="164"/>
      <c r="C515"/>
      <c r="D515" s="176"/>
      <c r="E515" s="176"/>
      <c r="F515" s="176"/>
      <c r="G515" s="17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 s="63"/>
    </row>
    <row r="516" spans="1:21" ht="14.25">
      <c r="A516" s="167" t="s">
        <v>100</v>
      </c>
      <c r="B516" s="159"/>
      <c r="C516" s="134"/>
      <c r="D516" s="148"/>
      <c r="E516" s="148"/>
      <c r="F516" s="148"/>
      <c r="G516" s="148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 s="63"/>
    </row>
    <row r="517" spans="1:21" ht="12.75">
      <c r="A517" s="138" t="s">
        <v>350</v>
      </c>
      <c r="B517" s="139" t="s">
        <v>593</v>
      </c>
      <c r="C517" s="134"/>
      <c r="D517" s="516"/>
      <c r="E517" s="516"/>
      <c r="F517" s="516"/>
      <c r="G517" s="516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 s="63"/>
    </row>
    <row r="518" spans="1:21" ht="21">
      <c r="A518" s="160" t="s">
        <v>101</v>
      </c>
      <c r="B518" s="139" t="s">
        <v>593</v>
      </c>
      <c r="C518" s="134"/>
      <c r="D518" s="517"/>
      <c r="E518" s="517"/>
      <c r="F518" s="517"/>
      <c r="G518" s="517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 s="63"/>
    </row>
    <row r="519" spans="1:21" ht="21">
      <c r="A519" s="138" t="s">
        <v>102</v>
      </c>
      <c r="B519" s="139" t="s">
        <v>189</v>
      </c>
      <c r="C519" s="134"/>
      <c r="D519" s="517"/>
      <c r="E519" s="517"/>
      <c r="F519" s="517"/>
      <c r="G519" s="517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 s="63"/>
    </row>
    <row r="520" spans="1:21" ht="21">
      <c r="A520" s="149" t="s">
        <v>103</v>
      </c>
      <c r="B520" s="139" t="s">
        <v>593</v>
      </c>
      <c r="C520" s="134"/>
      <c r="D520" s="517"/>
      <c r="E520" s="517"/>
      <c r="F520" s="517"/>
      <c r="G520" s="517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 s="63"/>
    </row>
    <row r="521" spans="1:21" ht="21">
      <c r="A521" s="149" t="s">
        <v>104</v>
      </c>
      <c r="B521" s="139" t="s">
        <v>593</v>
      </c>
      <c r="C521" s="134"/>
      <c r="D521" s="517"/>
      <c r="E521" s="517"/>
      <c r="F521" s="517"/>
      <c r="G521" s="517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 s="63"/>
    </row>
    <row r="522" spans="1:21" ht="12.75">
      <c r="A522" s="149" t="s">
        <v>105</v>
      </c>
      <c r="B522" s="139" t="s">
        <v>593</v>
      </c>
      <c r="C522" s="134"/>
      <c r="D522" s="517"/>
      <c r="E522" s="517"/>
      <c r="F522" s="517"/>
      <c r="G522" s="517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 s="63"/>
    </row>
    <row r="523" spans="1:21" ht="21">
      <c r="A523" s="149" t="s">
        <v>106</v>
      </c>
      <c r="B523" s="139" t="s">
        <v>593</v>
      </c>
      <c r="C523" s="134"/>
      <c r="D523" s="517"/>
      <c r="E523" s="517"/>
      <c r="F523" s="517"/>
      <c r="G523" s="517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 s="63"/>
    </row>
    <row r="524" spans="1:21" ht="12.75">
      <c r="A524" s="149" t="s">
        <v>107</v>
      </c>
      <c r="B524" s="139" t="s">
        <v>593</v>
      </c>
      <c r="C524" s="134"/>
      <c r="D524" s="517"/>
      <c r="E524" s="517"/>
      <c r="F524" s="517"/>
      <c r="G524" s="517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 s="63"/>
    </row>
    <row r="525" spans="1:21" ht="12.75">
      <c r="A525" s="149" t="s">
        <v>108</v>
      </c>
      <c r="B525" s="139" t="s">
        <v>189</v>
      </c>
      <c r="C525" s="134"/>
      <c r="D525" s="517"/>
      <c r="E525" s="517"/>
      <c r="F525" s="517"/>
      <c r="G525" s="517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 s="63"/>
    </row>
    <row r="526" spans="1:21" ht="21">
      <c r="A526" s="157" t="s">
        <v>109</v>
      </c>
      <c r="B526" s="139" t="s">
        <v>593</v>
      </c>
      <c r="C526" s="134"/>
      <c r="D526" s="517"/>
      <c r="E526" s="517"/>
      <c r="F526" s="517"/>
      <c r="G526" s="517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 s="63"/>
    </row>
    <row r="527" spans="1:21" ht="12.75">
      <c r="A527" s="157" t="s">
        <v>110</v>
      </c>
      <c r="B527" s="139" t="s">
        <v>593</v>
      </c>
      <c r="C527" s="134"/>
      <c r="D527" s="517"/>
      <c r="E527" s="517"/>
      <c r="F527" s="517"/>
      <c r="G527" s="51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 s="63"/>
    </row>
    <row r="528" spans="1:21" ht="52.5">
      <c r="A528" s="157" t="s">
        <v>111</v>
      </c>
      <c r="B528" s="139" t="s">
        <v>593</v>
      </c>
      <c r="C528" s="134"/>
      <c r="D528" s="517"/>
      <c r="E528" s="517"/>
      <c r="F528" s="517"/>
      <c r="G528" s="517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 s="63"/>
    </row>
    <row r="529" spans="1:21" ht="21">
      <c r="A529" s="138" t="s">
        <v>112</v>
      </c>
      <c r="B529" s="139" t="s">
        <v>593</v>
      </c>
      <c r="C529" s="179"/>
      <c r="D529" s="517"/>
      <c r="E529" s="517"/>
      <c r="F529" s="517"/>
      <c r="G529" s="517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 s="63"/>
    </row>
    <row r="530" spans="1:21" s="42" customFormat="1" ht="21">
      <c r="A530" s="138" t="s">
        <v>351</v>
      </c>
      <c r="B530" s="139" t="s">
        <v>593</v>
      </c>
      <c r="C530" s="179"/>
      <c r="D530" s="518"/>
      <c r="E530" s="518"/>
      <c r="F530" s="518"/>
      <c r="G530" s="518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 s="63"/>
    </row>
    <row r="531" spans="1:21" s="42" customFormat="1" ht="12.75">
      <c r="A531" s="138" t="s">
        <v>421</v>
      </c>
      <c r="B531" s="139" t="s">
        <v>279</v>
      </c>
      <c r="C531" s="179"/>
      <c r="D531" s="148"/>
      <c r="E531" s="148"/>
      <c r="F531" s="148"/>
      <c r="G531" s="148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 s="63"/>
    </row>
    <row r="532" spans="1:21" ht="12.75">
      <c r="A532" s="138" t="s">
        <v>422</v>
      </c>
      <c r="B532" s="139" t="s">
        <v>279</v>
      </c>
      <c r="C532" s="179"/>
      <c r="D532" s="148"/>
      <c r="E532" s="148"/>
      <c r="F532" s="148"/>
      <c r="G532" s="148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 s="63"/>
    </row>
    <row r="533" spans="1:21" ht="21">
      <c r="A533" s="138" t="s">
        <v>352</v>
      </c>
      <c r="B533" s="139" t="s">
        <v>593</v>
      </c>
      <c r="C533" s="179"/>
      <c r="D533" s="148"/>
      <c r="E533" s="148"/>
      <c r="F533" s="180"/>
      <c r="G533" s="148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 s="64"/>
    </row>
    <row r="534" spans="1:21" ht="21">
      <c r="A534" s="138" t="s">
        <v>113</v>
      </c>
      <c r="B534" s="139" t="s">
        <v>593</v>
      </c>
      <c r="C534" s="179"/>
      <c r="D534" s="148"/>
      <c r="E534"/>
      <c r="F534" s="180"/>
      <c r="G534" s="181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 s="64"/>
    </row>
    <row r="535" spans="1:21" ht="42">
      <c r="A535" s="138" t="s">
        <v>114</v>
      </c>
      <c r="B535" s="139" t="s">
        <v>315</v>
      </c>
      <c r="C535" s="179"/>
      <c r="D535" s="148"/>
      <c r="E535" s="148"/>
      <c r="F535" s="148"/>
      <c r="G535" s="148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 s="64"/>
    </row>
    <row r="536" spans="1:21" ht="21">
      <c r="A536" s="138" t="s">
        <v>115</v>
      </c>
      <c r="B536" s="139" t="s">
        <v>593</v>
      </c>
      <c r="C536" s="152"/>
      <c r="D536" s="519"/>
      <c r="E536" s="516"/>
      <c r="F536" s="516"/>
      <c r="G536" s="521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 s="64"/>
    </row>
    <row r="537" spans="1:21" ht="12.75">
      <c r="A537" s="138" t="s">
        <v>116</v>
      </c>
      <c r="B537" s="139" t="s">
        <v>353</v>
      </c>
      <c r="C537" s="153"/>
      <c r="D537" s="520"/>
      <c r="E537" s="517"/>
      <c r="F537" s="517"/>
      <c r="G537" s="522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 s="64"/>
    </row>
    <row r="538" spans="1:21" ht="12.75">
      <c r="A538" s="138" t="s">
        <v>194</v>
      </c>
      <c r="B538" s="139" t="s">
        <v>353</v>
      </c>
      <c r="C538" s="134"/>
      <c r="D538" s="520"/>
      <c r="E538" s="518"/>
      <c r="F538" s="518"/>
      <c r="G538" s="523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 s="63"/>
    </row>
    <row r="539" spans="1:21" ht="31.5">
      <c r="A539" s="138" t="s">
        <v>117</v>
      </c>
      <c r="B539" s="139" t="s">
        <v>279</v>
      </c>
      <c r="C539" s="134"/>
      <c r="D539" s="148"/>
      <c r="E539" s="156"/>
      <c r="F539" s="148"/>
      <c r="G539" s="148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 s="63"/>
    </row>
    <row r="540" spans="1:21" ht="12.75">
      <c r="A540" s="149"/>
      <c r="B540" s="139"/>
      <c r="C540" s="134"/>
      <c r="D540" s="148"/>
      <c r="E540" s="148"/>
      <c r="F540" s="148"/>
      <c r="G540" s="148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 s="63"/>
    </row>
    <row r="541" spans="1:21" ht="14.25">
      <c r="A541" s="167" t="s">
        <v>118</v>
      </c>
      <c r="B541" s="159"/>
      <c r="C541" s="134"/>
      <c r="D541" s="148"/>
      <c r="E541" s="148"/>
      <c r="F541" s="148"/>
      <c r="G541" s="148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 s="63"/>
    </row>
    <row r="542" spans="1:21" ht="21">
      <c r="A542" s="138" t="s">
        <v>119</v>
      </c>
      <c r="B542" s="139" t="s">
        <v>275</v>
      </c>
      <c r="C542" s="134"/>
      <c r="D542" s="135"/>
      <c r="E542" s="135"/>
      <c r="F542" s="135"/>
      <c r="G542" s="148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 s="63"/>
    </row>
    <row r="543" spans="1:21" ht="12.75">
      <c r="A543" s="160" t="s">
        <v>367</v>
      </c>
      <c r="B543" s="139"/>
      <c r="C543" s="134"/>
      <c r="D543" s="148"/>
      <c r="E543" s="148"/>
      <c r="F543" s="148"/>
      <c r="G543" s="148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 s="63"/>
    </row>
    <row r="544" spans="1:21" ht="12.75">
      <c r="A544" s="149" t="s">
        <v>368</v>
      </c>
      <c r="B544" s="139" t="s">
        <v>315</v>
      </c>
      <c r="C544" s="182"/>
      <c r="D544" s="148"/>
      <c r="E544" s="148"/>
      <c r="F544" s="148"/>
      <c r="G544" s="148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 s="63"/>
    </row>
    <row r="545" spans="1:21" ht="12.75">
      <c r="A545" s="149" t="s">
        <v>369</v>
      </c>
      <c r="B545" s="139" t="s">
        <v>275</v>
      </c>
      <c r="C545" s="183"/>
      <c r="D545" s="148"/>
      <c r="E545"/>
      <c r="F545" s="148"/>
      <c r="G545" s="13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 s="63"/>
    </row>
    <row r="546" spans="1:21" ht="12.75">
      <c r="A546" s="149" t="s">
        <v>370</v>
      </c>
      <c r="B546" s="139" t="s">
        <v>275</v>
      </c>
      <c r="C546" s="182"/>
      <c r="D546" s="148"/>
      <c r="E546" s="148"/>
      <c r="F546" s="516"/>
      <c r="G546" s="148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 s="63"/>
    </row>
    <row r="547" spans="1:21" ht="12.75">
      <c r="A547" s="149" t="s">
        <v>371</v>
      </c>
      <c r="B547" s="139" t="s">
        <v>275</v>
      </c>
      <c r="C547" s="182"/>
      <c r="D547" s="148"/>
      <c r="E547" s="148"/>
      <c r="F547" s="517"/>
      <c r="G547" s="148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 s="63"/>
    </row>
    <row r="548" spans="1:21" ht="12.75">
      <c r="A548" s="160" t="s">
        <v>372</v>
      </c>
      <c r="B548" s="139" t="s">
        <v>189</v>
      </c>
      <c r="C548" s="182"/>
      <c r="D548" s="148"/>
      <c r="E548" s="148"/>
      <c r="F548" s="517"/>
      <c r="G548" s="1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 s="63"/>
    </row>
    <row r="549" spans="1:21" ht="12.75">
      <c r="A549" s="149" t="s">
        <v>370</v>
      </c>
      <c r="B549" s="139" t="s">
        <v>315</v>
      </c>
      <c r="C549" s="182"/>
      <c r="D549" s="148"/>
      <c r="E549" s="148"/>
      <c r="F549" s="517"/>
      <c r="G549" s="148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 s="63"/>
    </row>
    <row r="550" spans="1:21" ht="12.75">
      <c r="A550" s="149" t="s">
        <v>371</v>
      </c>
      <c r="B550" s="139" t="s">
        <v>315</v>
      </c>
      <c r="C550" s="182"/>
      <c r="D550" s="148"/>
      <c r="E550" s="148"/>
      <c r="F550" s="518"/>
      <c r="G550" s="148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 s="63"/>
    </row>
    <row r="551" spans="1:21" ht="31.5">
      <c r="A551" s="138" t="s">
        <v>253</v>
      </c>
      <c r="B551" s="139" t="s">
        <v>380</v>
      </c>
      <c r="C551" s="182"/>
      <c r="D551" s="516"/>
      <c r="E551" s="516"/>
      <c r="F551" s="516"/>
      <c r="G551" s="148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 s="63"/>
    </row>
    <row r="552" spans="1:21" ht="12.75">
      <c r="A552" s="149" t="s">
        <v>120</v>
      </c>
      <c r="B552" s="139" t="s">
        <v>380</v>
      </c>
      <c r="C552" s="182"/>
      <c r="D552" s="517"/>
      <c r="E552" s="517"/>
      <c r="F552" s="517"/>
      <c r="G552" s="148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 s="63"/>
    </row>
    <row r="553" spans="1:21" ht="12.75">
      <c r="A553" s="149" t="s">
        <v>121</v>
      </c>
      <c r="B553" s="139" t="s">
        <v>380</v>
      </c>
      <c r="C553" s="182"/>
      <c r="D553" s="518"/>
      <c r="E553" s="518"/>
      <c r="F553" s="518"/>
      <c r="G553" s="148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 s="63"/>
    </row>
    <row r="554" spans="1:21" ht="31.5">
      <c r="A554" s="138" t="s">
        <v>122</v>
      </c>
      <c r="B554" s="139" t="s">
        <v>424</v>
      </c>
      <c r="C554" s="182"/>
      <c r="D554" s="148"/>
      <c r="E554" s="148"/>
      <c r="F554" s="148"/>
      <c r="G554" s="148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 s="63"/>
    </row>
    <row r="555" spans="1:21" ht="12.75">
      <c r="A555" s="160" t="s">
        <v>373</v>
      </c>
      <c r="B555" s="184"/>
      <c r="C555" s="182"/>
      <c r="D555" s="148"/>
      <c r="E555" s="148"/>
      <c r="F555" s="148"/>
      <c r="G555" s="148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 s="63"/>
    </row>
    <row r="556" spans="1:21" ht="12.75">
      <c r="A556" s="149" t="s">
        <v>123</v>
      </c>
      <c r="B556" s="139" t="s">
        <v>374</v>
      </c>
      <c r="C556" s="182"/>
      <c r="D556" s="148"/>
      <c r="E556" s="148"/>
      <c r="F556" s="148"/>
      <c r="G556" s="148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 s="63"/>
    </row>
    <row r="557" spans="1:21" ht="12.75">
      <c r="A557" s="149" t="s">
        <v>124</v>
      </c>
      <c r="B557" s="139"/>
      <c r="C557" s="182"/>
      <c r="D557" s="148"/>
      <c r="E557" s="148"/>
      <c r="F557" s="148"/>
      <c r="G557" s="148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 s="63"/>
    </row>
    <row r="558" spans="1:21" ht="12.75">
      <c r="A558" s="157" t="s">
        <v>125</v>
      </c>
      <c r="B558" s="139" t="s">
        <v>375</v>
      </c>
      <c r="C558" s="524"/>
      <c r="D558" s="135"/>
      <c r="E558" s="135"/>
      <c r="F558" s="135"/>
      <c r="G558" s="135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 s="63"/>
    </row>
    <row r="559" spans="1:21" ht="12.75">
      <c r="A559" s="157" t="s">
        <v>126</v>
      </c>
      <c r="B559" s="139" t="s">
        <v>375</v>
      </c>
      <c r="C559" s="525"/>
      <c r="D559" s="135"/>
      <c r="E559" s="135"/>
      <c r="F559" s="135"/>
      <c r="G559" s="135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 s="63"/>
    </row>
    <row r="560" spans="1:21" ht="12.75">
      <c r="A560" s="157" t="s">
        <v>127</v>
      </c>
      <c r="B560" s="139" t="s">
        <v>375</v>
      </c>
      <c r="C560" s="525"/>
      <c r="D560" s="135"/>
      <c r="E560" s="135"/>
      <c r="F560" s="135"/>
      <c r="G560" s="135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 s="64"/>
    </row>
    <row r="561" spans="1:21" ht="31.5">
      <c r="A561" s="157" t="s">
        <v>128</v>
      </c>
      <c r="B561" s="139" t="s">
        <v>252</v>
      </c>
      <c r="C561" s="525"/>
      <c r="D561" s="135"/>
      <c r="E561" s="135"/>
      <c r="F561" s="135"/>
      <c r="G561" s="135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 s="64"/>
    </row>
    <row r="562" spans="1:21" ht="12.75">
      <c r="A562" s="157" t="s">
        <v>129</v>
      </c>
      <c r="B562" s="139" t="s">
        <v>375</v>
      </c>
      <c r="C562" s="526"/>
      <c r="D562" s="135"/>
      <c r="E562" s="135"/>
      <c r="F562" s="135"/>
      <c r="G562" s="135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 s="64"/>
    </row>
    <row r="563" spans="1:21" ht="18">
      <c r="A563" s="149" t="s">
        <v>130</v>
      </c>
      <c r="B563" s="139" t="s">
        <v>249</v>
      </c>
      <c r="C563" s="182"/>
      <c r="D563" s="148"/>
      <c r="E563" s="148"/>
      <c r="F563" s="148"/>
      <c r="G563" s="148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 s="64"/>
    </row>
    <row r="564" spans="1:21" ht="12.75">
      <c r="A564" s="149" t="s">
        <v>131</v>
      </c>
      <c r="B564" s="139" t="s">
        <v>250</v>
      </c>
      <c r="C564" s="134"/>
      <c r="D564" s="148"/>
      <c r="E564" s="148"/>
      <c r="F564" s="148"/>
      <c r="G564" s="148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 s="64"/>
    </row>
    <row r="565" spans="1:21" ht="12.75">
      <c r="A565" s="149" t="s">
        <v>251</v>
      </c>
      <c r="B565" s="139"/>
      <c r="C565" s="134"/>
      <c r="D565" s="148"/>
      <c r="E565" s="148"/>
      <c r="F565" s="148"/>
      <c r="G565" s="148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 s="64"/>
    </row>
    <row r="566" spans="1:21" ht="21">
      <c r="A566" s="157" t="s">
        <v>132</v>
      </c>
      <c r="B566" s="139" t="s">
        <v>250</v>
      </c>
      <c r="C566" s="172"/>
      <c r="D566" s="148"/>
      <c r="E566" s="148"/>
      <c r="F566" s="148"/>
      <c r="G566" s="148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 s="64"/>
    </row>
    <row r="567" spans="1:21" ht="12.75">
      <c r="A567" s="149" t="s">
        <v>133</v>
      </c>
      <c r="B567" s="139" t="s">
        <v>250</v>
      </c>
      <c r="C567" s="134"/>
      <c r="D567" s="148"/>
      <c r="E567" s="148"/>
      <c r="F567" s="148"/>
      <c r="G567" s="148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 s="64"/>
    </row>
    <row r="568" spans="1:21" ht="31.5">
      <c r="A568" s="149" t="s">
        <v>134</v>
      </c>
      <c r="B568" s="139" t="s">
        <v>252</v>
      </c>
      <c r="C568" s="179"/>
      <c r="D568" s="148"/>
      <c r="E568" s="148"/>
      <c r="F568" s="148"/>
      <c r="G568" s="14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 s="64"/>
    </row>
    <row r="569" spans="1:21" ht="12.75">
      <c r="A569" s="149" t="s">
        <v>135</v>
      </c>
      <c r="B569" s="139" t="s">
        <v>136</v>
      </c>
      <c r="C569" s="179"/>
      <c r="D569" s="148"/>
      <c r="E569" s="148"/>
      <c r="F569" s="516"/>
      <c r="G569" s="148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 s="64"/>
    </row>
    <row r="570" spans="1:21" ht="12.75">
      <c r="A570" s="149" t="s">
        <v>137</v>
      </c>
      <c r="B570" s="139" t="s">
        <v>136</v>
      </c>
      <c r="C570" s="179"/>
      <c r="D570" s="148"/>
      <c r="E570" s="148"/>
      <c r="F570" s="518"/>
      <c r="G570" s="148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 s="64"/>
    </row>
    <row r="571" spans="1:21" ht="21">
      <c r="A571" s="149" t="s">
        <v>138</v>
      </c>
      <c r="B571" s="139" t="s">
        <v>139</v>
      </c>
      <c r="C571" s="172"/>
      <c r="D571" s="135"/>
      <c r="E571" s="135"/>
      <c r="F571" s="135"/>
      <c r="G571" s="148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 s="64"/>
    </row>
    <row r="572" spans="1:21" ht="21">
      <c r="A572" s="160" t="s">
        <v>366</v>
      </c>
      <c r="B572" s="139" t="s">
        <v>140</v>
      </c>
      <c r="C572" s="179"/>
      <c r="D572" s="516"/>
      <c r="E572" s="516"/>
      <c r="F572" s="516"/>
      <c r="G572" s="148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 s="64"/>
    </row>
    <row r="573" spans="1:21" ht="12.75">
      <c r="A573" s="138" t="s">
        <v>141</v>
      </c>
      <c r="B573" s="139"/>
      <c r="C573" s="179"/>
      <c r="D573" s="517"/>
      <c r="E573" s="517"/>
      <c r="F573" s="517"/>
      <c r="G573" s="148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 s="64"/>
    </row>
    <row r="574" spans="1:21" ht="12.75">
      <c r="A574" s="149" t="s">
        <v>78</v>
      </c>
      <c r="B574" s="139" t="s">
        <v>140</v>
      </c>
      <c r="C574" s="134"/>
      <c r="D574" s="517"/>
      <c r="E574" s="517"/>
      <c r="F574" s="517"/>
      <c r="G574" s="148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 s="64"/>
    </row>
    <row r="575" spans="1:21" ht="21">
      <c r="A575" s="149" t="s">
        <v>142</v>
      </c>
      <c r="B575" s="139" t="s">
        <v>140</v>
      </c>
      <c r="C575" s="134"/>
      <c r="D575" s="517"/>
      <c r="E575" s="517"/>
      <c r="F575" s="517"/>
      <c r="G575" s="148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 s="63"/>
    </row>
    <row r="576" spans="1:21" ht="31.5">
      <c r="A576" s="149" t="s">
        <v>143</v>
      </c>
      <c r="B576" s="139" t="s">
        <v>140</v>
      </c>
      <c r="C576" s="134"/>
      <c r="D576" s="518"/>
      <c r="E576" s="518"/>
      <c r="F576" s="518"/>
      <c r="G576" s="148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 s="63"/>
    </row>
    <row r="577" spans="1:21" ht="21">
      <c r="A577" s="138" t="s">
        <v>144</v>
      </c>
      <c r="B577" s="139" t="s">
        <v>145</v>
      </c>
      <c r="C577" s="134"/>
      <c r="D577" s="148"/>
      <c r="E577" s="148"/>
      <c r="F577" s="147"/>
      <c r="G577" s="148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 s="63"/>
    </row>
    <row r="578" spans="1:21" ht="31.5">
      <c r="A578" s="138" t="s">
        <v>147</v>
      </c>
      <c r="B578" s="139" t="s">
        <v>193</v>
      </c>
      <c r="C578" s="134"/>
      <c r="D578" s="148"/>
      <c r="E578" s="516"/>
      <c r="F578" s="516"/>
      <c r="G578" s="14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 s="63"/>
    </row>
    <row r="579" spans="1:21" ht="21">
      <c r="A579" s="138" t="s">
        <v>148</v>
      </c>
      <c r="B579" s="139" t="s">
        <v>279</v>
      </c>
      <c r="C579" s="134"/>
      <c r="D579" s="148"/>
      <c r="E579" s="518"/>
      <c r="F579" s="518"/>
      <c r="G579" s="148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 s="63"/>
    </row>
    <row r="580" spans="1:21" ht="12.75">
      <c r="A580" s="138" t="s">
        <v>425</v>
      </c>
      <c r="B580" s="139" t="s">
        <v>149</v>
      </c>
      <c r="C580" s="134"/>
      <c r="D580" s="148"/>
      <c r="E580" s="148"/>
      <c r="F580" s="148"/>
      <c r="G580" s="148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 s="63"/>
    </row>
    <row r="581" spans="1:21" ht="21">
      <c r="A581" s="138" t="s">
        <v>150</v>
      </c>
      <c r="B581" s="139" t="s">
        <v>392</v>
      </c>
      <c r="C581" s="513"/>
      <c r="D581" s="148"/>
      <c r="E581" s="148"/>
      <c r="F581" s="148"/>
      <c r="G581" s="148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 s="63"/>
    </row>
    <row r="582" spans="1:21" ht="21">
      <c r="A582" s="138" t="s">
        <v>150</v>
      </c>
      <c r="B582" s="139" t="s">
        <v>151</v>
      </c>
      <c r="C582" s="515"/>
      <c r="D582" s="148"/>
      <c r="E582" s="148"/>
      <c r="F582" s="148"/>
      <c r="G582" s="148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 s="64"/>
    </row>
    <row r="583" spans="1:21" ht="12.75">
      <c r="A583" s="149"/>
      <c r="B583" s="139"/>
      <c r="C583" s="134"/>
      <c r="D583" s="148"/>
      <c r="E583" s="148"/>
      <c r="F583" s="148"/>
      <c r="G583" s="148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 s="64"/>
    </row>
    <row r="584" spans="1:21" ht="14.25">
      <c r="A584" s="167" t="s">
        <v>152</v>
      </c>
      <c r="B584" s="159"/>
      <c r="C584" s="134"/>
      <c r="D584" s="148"/>
      <c r="E584" s="148"/>
      <c r="F584" s="148"/>
      <c r="G584" s="148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 s="64"/>
    </row>
    <row r="585" spans="1:21" ht="42">
      <c r="A585" s="138" t="s">
        <v>153</v>
      </c>
      <c r="B585" s="139" t="s">
        <v>276</v>
      </c>
      <c r="C585" s="134"/>
      <c r="D585" s="148"/>
      <c r="E585" s="148"/>
      <c r="F585" s="148"/>
      <c r="G585" s="148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 s="64"/>
    </row>
    <row r="586" spans="1:21" ht="12.75">
      <c r="A586" s="138" t="s">
        <v>77</v>
      </c>
      <c r="B586" s="139"/>
      <c r="C586" s="179"/>
      <c r="D586" s="148"/>
      <c r="E586" s="148"/>
      <c r="F586" s="148"/>
      <c r="G586" s="148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 s="64"/>
    </row>
    <row r="587" spans="1:21" ht="18">
      <c r="A587" s="149" t="s">
        <v>78</v>
      </c>
      <c r="B587" s="139" t="s">
        <v>276</v>
      </c>
      <c r="C587" s="179"/>
      <c r="D587" s="148"/>
      <c r="E587" s="148"/>
      <c r="F587" s="148"/>
      <c r="G587" s="148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 s="64"/>
    </row>
    <row r="588" spans="1:21" ht="21">
      <c r="A588" s="149" t="s">
        <v>154</v>
      </c>
      <c r="B588" s="139" t="s">
        <v>276</v>
      </c>
      <c r="C588" s="179"/>
      <c r="D588" s="148"/>
      <c r="E588" s="148"/>
      <c r="F588" s="148"/>
      <c r="G588" s="14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 s="64"/>
    </row>
    <row r="589" spans="1:21" ht="18">
      <c r="A589" s="149" t="s">
        <v>155</v>
      </c>
      <c r="B589" s="139" t="s">
        <v>276</v>
      </c>
      <c r="C589" s="179"/>
      <c r="D589" s="148"/>
      <c r="E589" s="148"/>
      <c r="F589" s="148"/>
      <c r="G589" s="148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 s="63"/>
    </row>
    <row r="590" spans="1:21" s="42" customFormat="1" ht="21">
      <c r="A590" s="138" t="s">
        <v>156</v>
      </c>
      <c r="B590" s="139" t="s">
        <v>254</v>
      </c>
      <c r="C590" s="185"/>
      <c r="D590" s="148"/>
      <c r="E590" s="148"/>
      <c r="F590" s="148"/>
      <c r="G590" s="148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 s="63"/>
    </row>
    <row r="591" spans="1:21" s="42" customFormat="1" ht="12.75">
      <c r="A591" s="138"/>
      <c r="B591" s="139" t="s">
        <v>664</v>
      </c>
      <c r="C591" s="185"/>
      <c r="D591" s="148"/>
      <c r="E591" s="148"/>
      <c r="F591" s="148"/>
      <c r="G591" s="148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 s="63"/>
    </row>
    <row r="592" spans="1:21" s="42" customFormat="1" ht="21">
      <c r="A592" s="138" t="s">
        <v>157</v>
      </c>
      <c r="B592" s="139" t="s">
        <v>255</v>
      </c>
      <c r="C592" s="185"/>
      <c r="D592" s="148"/>
      <c r="E592" s="148"/>
      <c r="F592" s="148"/>
      <c r="G592" s="148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 s="63"/>
    </row>
    <row r="593" spans="1:21" s="42" customFormat="1" ht="12.75">
      <c r="A593" s="138"/>
      <c r="B593" s="139" t="s">
        <v>664</v>
      </c>
      <c r="C593" s="179"/>
      <c r="D593" s="148"/>
      <c r="E593" s="148"/>
      <c r="F593" s="148"/>
      <c r="G593" s="148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 s="63"/>
    </row>
    <row r="594" spans="1:21" s="42" customFormat="1" ht="21">
      <c r="A594" s="138" t="s">
        <v>158</v>
      </c>
      <c r="B594" s="139" t="s">
        <v>254</v>
      </c>
      <c r="C594" s="513"/>
      <c r="D594" s="148"/>
      <c r="E594" s="148"/>
      <c r="F594" s="148"/>
      <c r="G594" s="148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 s="63"/>
    </row>
    <row r="595" spans="1:21" s="42" customFormat="1" ht="12.75">
      <c r="A595" s="138"/>
      <c r="B595" s="139" t="s">
        <v>664</v>
      </c>
      <c r="C595" s="514"/>
      <c r="D595" s="148"/>
      <c r="E595" s="148"/>
      <c r="F595" s="148"/>
      <c r="G595" s="148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 s="63"/>
    </row>
    <row r="596" spans="1:21" s="42" customFormat="1" ht="21">
      <c r="A596" s="170" t="s">
        <v>256</v>
      </c>
      <c r="B596" s="139" t="s">
        <v>254</v>
      </c>
      <c r="C596" s="514"/>
      <c r="D596" s="148"/>
      <c r="E596" s="148"/>
      <c r="F596" s="148"/>
      <c r="G596" s="148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 s="63"/>
    </row>
    <row r="597" spans="1:21" s="42" customFormat="1" ht="12.75">
      <c r="A597" s="138"/>
      <c r="B597" s="139" t="s">
        <v>664</v>
      </c>
      <c r="C597"/>
      <c r="D597" s="156"/>
      <c r="E597" s="148"/>
      <c r="F597" s="148"/>
      <c r="G597" s="148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 s="63"/>
    </row>
    <row r="598" spans="1:21" s="42" customFormat="1" ht="12.75">
      <c r="A598" s="149"/>
      <c r="B598" s="139"/>
      <c r="C598" s="134"/>
      <c r="D598" s="148"/>
      <c r="E598" s="148"/>
      <c r="F598" s="148"/>
      <c r="G598" s="14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 s="63"/>
    </row>
    <row r="599" spans="1:21" ht="14.25">
      <c r="A599" s="167" t="s">
        <v>159</v>
      </c>
      <c r="B599" s="159"/>
      <c r="C599" s="134"/>
      <c r="D599" s="148"/>
      <c r="E599" s="148"/>
      <c r="F599" s="148"/>
      <c r="G599" s="148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 s="63"/>
    </row>
    <row r="600" spans="1:21" ht="21">
      <c r="A600" s="170" t="s">
        <v>174</v>
      </c>
      <c r="B600" s="139" t="s">
        <v>593</v>
      </c>
      <c r="C600" s="513"/>
      <c r="D600" s="168"/>
      <c r="E600" s="168"/>
      <c r="F600" s="168"/>
      <c r="G600" s="168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 s="63"/>
    </row>
    <row r="601" spans="1:21" ht="12.75">
      <c r="A601" s="138"/>
      <c r="B601" s="139" t="s">
        <v>664</v>
      </c>
      <c r="C601" s="514"/>
      <c r="D601" s="148"/>
      <c r="E601" s="148"/>
      <c r="F601" s="148"/>
      <c r="G601" s="148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 s="63"/>
    </row>
    <row r="602" spans="1:21" ht="12.75">
      <c r="A602" s="186" t="s">
        <v>175</v>
      </c>
      <c r="B602" s="139" t="s">
        <v>593</v>
      </c>
      <c r="C602" s="514"/>
      <c r="D602" s="148"/>
      <c r="E602" s="148"/>
      <c r="F602" s="148"/>
      <c r="G602" s="148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 s="64"/>
    </row>
    <row r="603" spans="1:21" ht="12.75">
      <c r="A603" s="149"/>
      <c r="B603" s="139" t="s">
        <v>664</v>
      </c>
      <c r="C603" s="514"/>
      <c r="D603" s="148"/>
      <c r="E603" s="148"/>
      <c r="F603" s="148"/>
      <c r="G603" s="148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 s="64"/>
    </row>
    <row r="604" spans="1:21" ht="12.75">
      <c r="A604" s="186" t="s">
        <v>176</v>
      </c>
      <c r="B604" s="139" t="s">
        <v>593</v>
      </c>
      <c r="C604" s="514"/>
      <c r="D604" s="148"/>
      <c r="E604" s="148"/>
      <c r="F604" s="148"/>
      <c r="G604" s="148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 s="63"/>
    </row>
    <row r="605" spans="1:21" ht="12.75">
      <c r="A605" s="149"/>
      <c r="B605" s="139" t="s">
        <v>664</v>
      </c>
      <c r="C605" s="515"/>
      <c r="D605" s="148"/>
      <c r="E605" s="148"/>
      <c r="F605" s="148"/>
      <c r="G605" s="148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 s="63"/>
    </row>
    <row r="606" spans="1:21" ht="12.75">
      <c r="A606" s="170" t="s">
        <v>177</v>
      </c>
      <c r="B606" s="139" t="s">
        <v>593</v>
      </c>
      <c r="C606" s="134"/>
      <c r="D606" s="148"/>
      <c r="E606" s="148"/>
      <c r="F606" s="148"/>
      <c r="G606" s="148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 s="63"/>
    </row>
    <row r="607" spans="1:21" ht="12.75">
      <c r="A607" s="149"/>
      <c r="B607" s="139" t="s">
        <v>664</v>
      </c>
      <c r="C607" s="134"/>
      <c r="D607" s="148"/>
      <c r="E607" s="148"/>
      <c r="F607" s="148"/>
      <c r="G607" s="148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 s="63"/>
    </row>
    <row r="608" spans="1:21" ht="12.75">
      <c r="A608" s="186" t="s">
        <v>175</v>
      </c>
      <c r="B608" s="139" t="s">
        <v>593</v>
      </c>
      <c r="C608" s="134"/>
      <c r="D608" s="148"/>
      <c r="E608" s="148"/>
      <c r="F608" s="148"/>
      <c r="G608" s="14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 s="63"/>
    </row>
    <row r="609" spans="1:21" ht="12.75">
      <c r="A609" s="149"/>
      <c r="B609" s="139" t="s">
        <v>664</v>
      </c>
      <c r="C609" s="134"/>
      <c r="D609" s="148"/>
      <c r="E609" s="148"/>
      <c r="F609" s="148"/>
      <c r="G609" s="148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 s="63"/>
    </row>
    <row r="610" spans="1:21" ht="12.75">
      <c r="A610" s="186" t="s">
        <v>176</v>
      </c>
      <c r="B610" s="139" t="s">
        <v>593</v>
      </c>
      <c r="C610" s="134"/>
      <c r="D610" s="148"/>
      <c r="E610" s="148"/>
      <c r="F610" s="148"/>
      <c r="G610" s="148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 s="63"/>
    </row>
    <row r="611" spans="1:21" ht="12.75">
      <c r="A611" s="149"/>
      <c r="B611" s="139" t="s">
        <v>664</v>
      </c>
      <c r="C611" s="134"/>
      <c r="D611" s="148"/>
      <c r="E611" s="148"/>
      <c r="F611" s="148"/>
      <c r="G611" s="148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 s="63"/>
    </row>
    <row r="612" spans="1:21" ht="21">
      <c r="A612" s="138" t="s">
        <v>178</v>
      </c>
      <c r="B612" s="139" t="s">
        <v>593</v>
      </c>
      <c r="C612" s="134"/>
      <c r="D612" s="148"/>
      <c r="E612" s="148"/>
      <c r="F612" s="148"/>
      <c r="G612" s="148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 s="63"/>
    </row>
    <row r="613" spans="1:21" ht="12.75">
      <c r="A613" s="170"/>
      <c r="B613" s="139" t="s">
        <v>664</v>
      </c>
      <c r="C613" s="134"/>
      <c r="D613" s="148"/>
      <c r="E613" s="148"/>
      <c r="F613" s="148"/>
      <c r="G613" s="148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 s="63"/>
    </row>
    <row r="614" spans="1:21" ht="12.75">
      <c r="A614" s="138" t="s">
        <v>177</v>
      </c>
      <c r="B614" s="139" t="s">
        <v>593</v>
      </c>
      <c r="C614" s="134"/>
      <c r="D614" s="148"/>
      <c r="E614" s="148"/>
      <c r="F614" s="148"/>
      <c r="G614" s="148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 s="63"/>
    </row>
    <row r="615" spans="1:21" ht="12.75">
      <c r="A615" s="170"/>
      <c r="B615" s="139" t="s">
        <v>664</v>
      </c>
      <c r="C615" s="134"/>
      <c r="D615" s="148"/>
      <c r="E615" s="148"/>
      <c r="F615" s="148"/>
      <c r="G615" s="148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 s="63"/>
    </row>
    <row r="616" spans="1:21" ht="21">
      <c r="A616" s="138" t="s">
        <v>160</v>
      </c>
      <c r="B616" s="139" t="s">
        <v>593</v>
      </c>
      <c r="C616" s="134"/>
      <c r="D616" s="148"/>
      <c r="E616" s="148"/>
      <c r="F616" s="148"/>
      <c r="G616" s="148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 s="63"/>
    </row>
    <row r="617" spans="1:21" ht="12.75">
      <c r="A617" s="170"/>
      <c r="B617" s="139" t="s">
        <v>664</v>
      </c>
      <c r="C617" s="134"/>
      <c r="D617" s="148"/>
      <c r="E617" s="148"/>
      <c r="F617" s="148"/>
      <c r="G617" s="148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 s="63"/>
    </row>
    <row r="618" spans="1:21" ht="21">
      <c r="A618" s="170" t="s">
        <v>179</v>
      </c>
      <c r="B618" s="139" t="s">
        <v>593</v>
      </c>
      <c r="C618" s="134"/>
      <c r="D618" s="148"/>
      <c r="E618" s="148"/>
      <c r="F618" s="148"/>
      <c r="G618" s="14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 s="63"/>
    </row>
    <row r="619" spans="1:21" ht="12.75">
      <c r="A619" s="138"/>
      <c r="B619" s="139" t="s">
        <v>664</v>
      </c>
      <c r="C619" s="134"/>
      <c r="D619" s="148"/>
      <c r="E619" s="148"/>
      <c r="F619" s="148"/>
      <c r="G619" s="148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 s="63"/>
    </row>
    <row r="620" spans="1:21" ht="12.75">
      <c r="A620" s="186" t="s">
        <v>175</v>
      </c>
      <c r="B620" s="139" t="s">
        <v>593</v>
      </c>
      <c r="C620" s="134"/>
      <c r="D620" s="148"/>
      <c r="E620" s="148"/>
      <c r="F620" s="148"/>
      <c r="G620" s="148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 s="63"/>
    </row>
    <row r="621" spans="1:21" ht="12.75">
      <c r="A621" s="149"/>
      <c r="B621" s="139" t="s">
        <v>664</v>
      </c>
      <c r="C621" s="134"/>
      <c r="D621" s="148"/>
      <c r="E621" s="148"/>
      <c r="F621" s="148"/>
      <c r="G621" s="148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 s="63"/>
    </row>
    <row r="622" spans="1:21" ht="12.75">
      <c r="A622" s="187" t="s">
        <v>176</v>
      </c>
      <c r="B622" s="139" t="s">
        <v>593</v>
      </c>
      <c r="C622" s="134"/>
      <c r="D622" s="148"/>
      <c r="E622" s="148"/>
      <c r="F622" s="148"/>
      <c r="G622" s="148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 s="63"/>
    </row>
    <row r="623" spans="1:21" ht="12.75">
      <c r="A623" s="149"/>
      <c r="B623" s="139" t="s">
        <v>664</v>
      </c>
      <c r="C623" s="134"/>
      <c r="D623" s="148"/>
      <c r="E623" s="148"/>
      <c r="F623" s="148"/>
      <c r="G623" s="148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 s="63"/>
    </row>
    <row r="624" spans="1:21" ht="12.75">
      <c r="A624" s="170" t="s">
        <v>180</v>
      </c>
      <c r="B624" s="139" t="s">
        <v>593</v>
      </c>
      <c r="C624" s="134"/>
      <c r="D624" s="148"/>
      <c r="E624" s="148"/>
      <c r="F624" s="148"/>
      <c r="G624" s="148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 s="63"/>
    </row>
    <row r="625" spans="1:21" ht="12.75">
      <c r="A625" s="170"/>
      <c r="B625" s="139" t="s">
        <v>664</v>
      </c>
      <c r="C625" s="134"/>
      <c r="D625" s="148"/>
      <c r="E625" s="148"/>
      <c r="F625" s="148"/>
      <c r="G625" s="148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 s="63"/>
    </row>
    <row r="626" spans="1:21" ht="21">
      <c r="A626" s="170" t="s">
        <v>161</v>
      </c>
      <c r="B626" s="139" t="s">
        <v>593</v>
      </c>
      <c r="C626" s="134"/>
      <c r="D626" s="148"/>
      <c r="E626" s="148"/>
      <c r="F626" s="148"/>
      <c r="G626" s="148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 s="63"/>
    </row>
    <row r="627" spans="1:21" ht="12.75">
      <c r="A627" s="170"/>
      <c r="B627" s="139" t="s">
        <v>664</v>
      </c>
      <c r="C627" s="134"/>
      <c r="D627" s="148"/>
      <c r="E627" s="148"/>
      <c r="F627" s="148"/>
      <c r="G627" s="148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 s="63"/>
    </row>
    <row r="628" spans="1:21" ht="21">
      <c r="A628" s="188" t="s">
        <v>162</v>
      </c>
      <c r="B628" s="139" t="s">
        <v>204</v>
      </c>
      <c r="C628" s="134"/>
      <c r="D628" s="516"/>
      <c r="E628" s="516"/>
      <c r="F628" s="516"/>
      <c r="G628" s="14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 s="63"/>
    </row>
    <row r="629" spans="1:21" ht="18">
      <c r="A629" s="186" t="s">
        <v>163</v>
      </c>
      <c r="B629" s="139" t="s">
        <v>204</v>
      </c>
      <c r="C629" s="134"/>
      <c r="D629" s="517"/>
      <c r="E629" s="517"/>
      <c r="F629" s="517"/>
      <c r="G629" s="148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 s="63"/>
    </row>
    <row r="630" spans="1:21" ht="18">
      <c r="A630" s="149" t="s">
        <v>164</v>
      </c>
      <c r="B630" s="139" t="s">
        <v>204</v>
      </c>
      <c r="C630" s="134"/>
      <c r="D630" s="517"/>
      <c r="E630" s="517"/>
      <c r="F630" s="517"/>
      <c r="G630" s="148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 s="63"/>
    </row>
    <row r="631" spans="1:21" ht="18">
      <c r="A631" s="186" t="s">
        <v>165</v>
      </c>
      <c r="B631" s="139" t="s">
        <v>204</v>
      </c>
      <c r="C631" s="134"/>
      <c r="D631" s="517"/>
      <c r="E631" s="517"/>
      <c r="F631" s="517"/>
      <c r="G631" s="148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 s="63"/>
    </row>
    <row r="632" spans="1:21" s="42" customFormat="1" ht="18">
      <c r="A632" s="149" t="s">
        <v>166</v>
      </c>
      <c r="B632" s="139" t="s">
        <v>204</v>
      </c>
      <c r="C632" s="134"/>
      <c r="D632" s="517"/>
      <c r="E632" s="517"/>
      <c r="F632" s="517"/>
      <c r="G632" s="148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 s="63"/>
    </row>
    <row r="633" spans="1:21" s="42" customFormat="1" ht="18">
      <c r="A633" s="149" t="s">
        <v>167</v>
      </c>
      <c r="B633" s="139" t="s">
        <v>204</v>
      </c>
      <c r="C633" s="134"/>
      <c r="D633" s="517"/>
      <c r="E633" s="517"/>
      <c r="F633" s="517"/>
      <c r="G633" s="148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 s="63"/>
    </row>
    <row r="634" spans="1:21" s="42" customFormat="1" ht="18">
      <c r="A634" s="149" t="s">
        <v>168</v>
      </c>
      <c r="B634" s="139" t="s">
        <v>204</v>
      </c>
      <c r="C634" s="134"/>
      <c r="D634" s="518"/>
      <c r="E634" s="518"/>
      <c r="F634" s="518"/>
      <c r="G634" s="148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 s="63"/>
    </row>
  </sheetData>
  <mergeCells count="105">
    <mergeCell ref="A9:A11"/>
    <mergeCell ref="B9:B11"/>
    <mergeCell ref="L10:L11"/>
    <mergeCell ref="M10:M11"/>
    <mergeCell ref="N10:N11"/>
    <mergeCell ref="D20:D22"/>
    <mergeCell ref="E20:E22"/>
    <mergeCell ref="F20:F22"/>
    <mergeCell ref="C29:C31"/>
    <mergeCell ref="G29:G31"/>
    <mergeCell ref="C35:C37"/>
    <mergeCell ref="D35:D37"/>
    <mergeCell ref="E35:E37"/>
    <mergeCell ref="F35:F37"/>
    <mergeCell ref="C45:C47"/>
    <mergeCell ref="D45:D47"/>
    <mergeCell ref="C91:C93"/>
    <mergeCell ref="D91:D93"/>
    <mergeCell ref="E91:E93"/>
    <mergeCell ref="F91:F93"/>
    <mergeCell ref="C99:C111"/>
    <mergeCell ref="D99:D111"/>
    <mergeCell ref="E99:E111"/>
    <mergeCell ref="C113:C115"/>
    <mergeCell ref="C117:C119"/>
    <mergeCell ref="C120:C122"/>
    <mergeCell ref="D123:D129"/>
    <mergeCell ref="E123:E129"/>
    <mergeCell ref="F123:F129"/>
    <mergeCell ref="G123:G129"/>
    <mergeCell ref="D131:D134"/>
    <mergeCell ref="E131:E134"/>
    <mergeCell ref="F131:F134"/>
    <mergeCell ref="D135:D136"/>
    <mergeCell ref="E135:E136"/>
    <mergeCell ref="D138:D142"/>
    <mergeCell ref="E138:E142"/>
    <mergeCell ref="F138:F145"/>
    <mergeCell ref="D143:D145"/>
    <mergeCell ref="E143:E145"/>
    <mergeCell ref="D146:D200"/>
    <mergeCell ref="E146:E200"/>
    <mergeCell ref="C180:C183"/>
    <mergeCell ref="D205:D206"/>
    <mergeCell ref="E205:E206"/>
    <mergeCell ref="F205:F206"/>
    <mergeCell ref="G205:G206"/>
    <mergeCell ref="D208:D209"/>
    <mergeCell ref="E208:E209"/>
    <mergeCell ref="F208:F209"/>
    <mergeCell ref="G208:G209"/>
    <mergeCell ref="C211:C241"/>
    <mergeCell ref="C244:C246"/>
    <mergeCell ref="E244:E246"/>
    <mergeCell ref="C248:C287"/>
    <mergeCell ref="F248:F287"/>
    <mergeCell ref="D291:D317"/>
    <mergeCell ref="E291:E317"/>
    <mergeCell ref="F291:F317"/>
    <mergeCell ref="G291:G317"/>
    <mergeCell ref="C391:C392"/>
    <mergeCell ref="D391:D407"/>
    <mergeCell ref="E391:E407"/>
    <mergeCell ref="F391:F407"/>
    <mergeCell ref="D413:D419"/>
    <mergeCell ref="E413:E419"/>
    <mergeCell ref="F413:F419"/>
    <mergeCell ref="G413:G419"/>
    <mergeCell ref="D425:D427"/>
    <mergeCell ref="E425:E427"/>
    <mergeCell ref="F425:F427"/>
    <mergeCell ref="D431:D432"/>
    <mergeCell ref="E431:E432"/>
    <mergeCell ref="F431:F432"/>
    <mergeCell ref="G431:G432"/>
    <mergeCell ref="C435:C447"/>
    <mergeCell ref="C449:C456"/>
    <mergeCell ref="C458:C489"/>
    <mergeCell ref="D492:D510"/>
    <mergeCell ref="E492:E510"/>
    <mergeCell ref="D517:D530"/>
    <mergeCell ref="E517:E530"/>
    <mergeCell ref="F517:F530"/>
    <mergeCell ref="G517:G530"/>
    <mergeCell ref="D536:D538"/>
    <mergeCell ref="E536:E538"/>
    <mergeCell ref="F536:F538"/>
    <mergeCell ref="G536:G538"/>
    <mergeCell ref="C581:C582"/>
    <mergeCell ref="F546:F550"/>
    <mergeCell ref="D551:D553"/>
    <mergeCell ref="E551:E553"/>
    <mergeCell ref="F551:F553"/>
    <mergeCell ref="C558:C562"/>
    <mergeCell ref="F569:F570"/>
    <mergeCell ref="C594:C596"/>
    <mergeCell ref="C600:C605"/>
    <mergeCell ref="D628:D634"/>
    <mergeCell ref="E628:E634"/>
    <mergeCell ref="F628:F634"/>
    <mergeCell ref="D572:D576"/>
    <mergeCell ref="E572:E576"/>
    <mergeCell ref="F572:F576"/>
    <mergeCell ref="E578:E579"/>
    <mergeCell ref="F578:F579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/>
  <dimension ref="A1:Q572"/>
  <sheetViews>
    <sheetView workbookViewId="0">
      <selection activeCell="E22" sqref="E22"/>
    </sheetView>
  </sheetViews>
  <sheetFormatPr defaultRowHeight="12.75"/>
  <cols>
    <col min="1" max="12" width="8.85546875" style="216" customWidth="1"/>
    <col min="13" max="16384" width="9.140625" style="66"/>
  </cols>
  <sheetData>
    <row r="1" spans="1:17">
      <c r="A1" s="66">
        <v>13</v>
      </c>
      <c r="B1" s="66">
        <v>15</v>
      </c>
      <c r="C1" s="66">
        <v>17</v>
      </c>
      <c r="D1" s="66"/>
      <c r="E1" s="66"/>
      <c r="F1" s="66"/>
      <c r="G1" s="66"/>
      <c r="H1" s="66"/>
      <c r="I1" s="66"/>
      <c r="J1" s="66"/>
      <c r="K1" s="66"/>
      <c r="L1" s="66"/>
    </row>
    <row r="2" spans="1:17">
      <c r="A2" s="66">
        <v>35</v>
      </c>
      <c r="B2" s="66">
        <v>38</v>
      </c>
      <c r="C2" s="66">
        <v>41</v>
      </c>
      <c r="D2" s="66"/>
      <c r="E2" s="66"/>
      <c r="F2" s="66"/>
      <c r="G2" s="66"/>
      <c r="H2" s="66"/>
      <c r="I2" s="66"/>
      <c r="J2" s="66"/>
      <c r="K2" s="66"/>
      <c r="L2" s="66"/>
    </row>
    <row r="3" spans="1:17">
      <c r="A3" s="66">
        <v>45</v>
      </c>
      <c r="B3" s="66">
        <v>48</v>
      </c>
      <c r="C3" s="66">
        <v>51</v>
      </c>
      <c r="D3" s="66">
        <v>54</v>
      </c>
      <c r="E3" s="66">
        <v>57</v>
      </c>
      <c r="F3" s="66">
        <v>60</v>
      </c>
      <c r="G3" s="66">
        <v>63</v>
      </c>
      <c r="H3" s="66">
        <v>66</v>
      </c>
      <c r="I3" s="66">
        <v>69</v>
      </c>
      <c r="J3" s="66">
        <v>72</v>
      </c>
      <c r="K3" s="66">
        <v>75</v>
      </c>
      <c r="L3" s="66">
        <v>78</v>
      </c>
      <c r="M3" s="66">
        <v>81</v>
      </c>
      <c r="N3" s="66">
        <v>84</v>
      </c>
      <c r="O3" s="66">
        <v>87</v>
      </c>
    </row>
    <row r="4" spans="1:17">
      <c r="A4" s="66">
        <v>94</v>
      </c>
      <c r="B4" s="66">
        <v>96</v>
      </c>
      <c r="C4" s="66">
        <v>97</v>
      </c>
      <c r="D4" s="66">
        <v>98</v>
      </c>
      <c r="E4" s="66"/>
      <c r="F4" s="66"/>
      <c r="G4" s="66"/>
      <c r="H4" s="66"/>
      <c r="I4" s="66"/>
      <c r="J4" s="66"/>
      <c r="K4" s="66"/>
      <c r="L4" s="66"/>
    </row>
    <row r="5" spans="1:17">
      <c r="A5" s="66">
        <v>113</v>
      </c>
      <c r="B5" s="66">
        <v>117</v>
      </c>
      <c r="C5" s="66">
        <v>120</v>
      </c>
      <c r="D5" s="66"/>
      <c r="E5" s="66"/>
      <c r="F5" s="66"/>
      <c r="G5" s="66"/>
      <c r="H5" s="66"/>
      <c r="I5" s="66"/>
      <c r="J5" s="66"/>
      <c r="K5" s="66"/>
      <c r="L5" s="66"/>
    </row>
    <row r="6" spans="1:17">
      <c r="A6" s="66">
        <v>113</v>
      </c>
      <c r="B6" s="66">
        <v>124</v>
      </c>
      <c r="C6" s="66">
        <v>126</v>
      </c>
      <c r="D6" s="66">
        <v>128</v>
      </c>
      <c r="E6" s="66"/>
      <c r="F6" s="66"/>
      <c r="G6" s="66"/>
      <c r="H6" s="66"/>
      <c r="I6" s="66"/>
      <c r="J6" s="66"/>
      <c r="K6" s="66"/>
      <c r="L6" s="66"/>
    </row>
    <row r="7" spans="1:17">
      <c r="A7" s="66">
        <v>211</v>
      </c>
      <c r="B7" s="66">
        <v>215</v>
      </c>
      <c r="C7" s="66">
        <v>217</v>
      </c>
      <c r="D7" s="66">
        <v>219</v>
      </c>
      <c r="E7" s="66">
        <v>221</v>
      </c>
      <c r="F7" s="66">
        <v>223</v>
      </c>
      <c r="G7" s="66">
        <v>225</v>
      </c>
      <c r="H7" s="66">
        <v>227</v>
      </c>
      <c r="I7" s="66">
        <v>229</v>
      </c>
      <c r="J7" s="66">
        <v>231</v>
      </c>
      <c r="K7" s="66">
        <v>233</v>
      </c>
      <c r="L7" s="66">
        <v>235</v>
      </c>
      <c r="M7" s="66">
        <v>237</v>
      </c>
      <c r="N7" s="66">
        <v>239</v>
      </c>
      <c r="O7" s="66">
        <v>241</v>
      </c>
    </row>
    <row r="8" spans="1:17">
      <c r="A8" s="66">
        <v>249</v>
      </c>
      <c r="B8" s="66">
        <v>251</v>
      </c>
      <c r="C8" s="66">
        <v>252</v>
      </c>
      <c r="D8" s="66">
        <v>253</v>
      </c>
      <c r="E8" s="66">
        <v>254</v>
      </c>
      <c r="F8" s="66">
        <v>255</v>
      </c>
      <c r="G8" s="66">
        <v>256</v>
      </c>
      <c r="H8" s="66"/>
      <c r="I8" s="66"/>
      <c r="J8" s="66"/>
      <c r="K8" s="66"/>
      <c r="L8" s="66"/>
    </row>
    <row r="9" spans="1:17">
      <c r="A9" s="66">
        <v>258</v>
      </c>
      <c r="B9" s="66">
        <v>260</v>
      </c>
      <c r="C9" s="66">
        <v>261</v>
      </c>
      <c r="D9" s="66">
        <v>262</v>
      </c>
      <c r="E9" s="66">
        <v>263</v>
      </c>
      <c r="F9" s="66">
        <v>264</v>
      </c>
      <c r="G9" s="66"/>
      <c r="H9" s="66"/>
      <c r="I9" s="66"/>
      <c r="J9" s="66"/>
      <c r="K9" s="66"/>
      <c r="L9" s="66"/>
    </row>
    <row r="10" spans="1:17">
      <c r="A10" s="66">
        <v>272</v>
      </c>
      <c r="B10" s="66">
        <v>274</v>
      </c>
      <c r="C10" s="66">
        <v>275</v>
      </c>
      <c r="D10" s="66">
        <v>276</v>
      </c>
      <c r="E10" s="66">
        <v>277</v>
      </c>
      <c r="F10" s="66">
        <v>278</v>
      </c>
      <c r="G10" s="66">
        <v>279</v>
      </c>
      <c r="H10" s="66"/>
      <c r="I10" s="66"/>
      <c r="J10" s="66"/>
      <c r="K10" s="66"/>
      <c r="L10" s="66"/>
    </row>
    <row r="11" spans="1:17">
      <c r="A11" s="66">
        <v>281</v>
      </c>
      <c r="B11" s="66">
        <v>283</v>
      </c>
      <c r="C11" s="66">
        <v>284</v>
      </c>
      <c r="D11" s="66">
        <v>285</v>
      </c>
      <c r="E11" s="66">
        <v>286</v>
      </c>
      <c r="F11" s="66">
        <v>287</v>
      </c>
      <c r="G11" s="66"/>
      <c r="H11" s="66"/>
      <c r="I11" s="66"/>
      <c r="J11" s="66"/>
      <c r="K11" s="66"/>
      <c r="L11" s="66"/>
    </row>
    <row r="12" spans="1:17">
      <c r="A12" s="66">
        <v>323</v>
      </c>
      <c r="B12" s="66">
        <v>327</v>
      </c>
      <c r="C12" s="66">
        <v>329</v>
      </c>
      <c r="D12" s="66">
        <v>331</v>
      </c>
      <c r="E12" s="66">
        <v>337</v>
      </c>
      <c r="F12" s="66">
        <v>367</v>
      </c>
      <c r="G12" s="66">
        <v>369</v>
      </c>
      <c r="H12" s="66">
        <v>371</v>
      </c>
      <c r="I12" s="66">
        <v>373</v>
      </c>
      <c r="J12" s="66">
        <v>375</v>
      </c>
      <c r="K12" s="66">
        <v>377</v>
      </c>
      <c r="L12" s="66">
        <v>379</v>
      </c>
      <c r="M12" s="66">
        <v>381</v>
      </c>
      <c r="N12" s="66">
        <v>383</v>
      </c>
      <c r="O12" s="66">
        <v>385</v>
      </c>
      <c r="P12" s="66">
        <v>387</v>
      </c>
      <c r="Q12" s="66">
        <v>389</v>
      </c>
    </row>
    <row r="13" spans="1:17">
      <c r="A13" s="66">
        <v>331</v>
      </c>
      <c r="B13" s="66">
        <v>333</v>
      </c>
      <c r="C13" s="66">
        <v>335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7">
      <c r="A14" s="66">
        <v>337</v>
      </c>
      <c r="B14" s="66">
        <v>339</v>
      </c>
      <c r="C14" s="66">
        <v>341</v>
      </c>
      <c r="D14" s="66">
        <v>343</v>
      </c>
      <c r="E14" s="66">
        <v>345</v>
      </c>
      <c r="F14" s="66">
        <v>347</v>
      </c>
      <c r="G14" s="66">
        <v>349</v>
      </c>
      <c r="H14" s="66">
        <v>351</v>
      </c>
      <c r="I14" s="66">
        <v>353</v>
      </c>
      <c r="J14" s="66">
        <v>355</v>
      </c>
      <c r="K14" s="66">
        <v>357</v>
      </c>
      <c r="L14" s="66">
        <v>359</v>
      </c>
      <c r="M14" s="66">
        <v>361</v>
      </c>
      <c r="N14" s="66">
        <v>363</v>
      </c>
      <c r="O14" s="66">
        <v>365</v>
      </c>
    </row>
    <row r="15" spans="1:17">
      <c r="A15" s="66">
        <v>392</v>
      </c>
      <c r="B15" s="66">
        <v>394</v>
      </c>
      <c r="C15" s="66">
        <v>395</v>
      </c>
      <c r="D15" s="66"/>
      <c r="E15" s="66"/>
      <c r="F15" s="66"/>
      <c r="G15" s="66"/>
      <c r="H15" s="66"/>
      <c r="I15" s="66"/>
      <c r="J15" s="66"/>
      <c r="K15" s="66"/>
      <c r="L15" s="66"/>
    </row>
    <row r="16" spans="1:17">
      <c r="A16" s="66">
        <v>396</v>
      </c>
      <c r="B16" s="66">
        <v>398</v>
      </c>
      <c r="C16" s="66">
        <v>400</v>
      </c>
      <c r="D16" s="66">
        <v>401</v>
      </c>
      <c r="E16" s="66">
        <v>406</v>
      </c>
      <c r="F16" s="66">
        <v>407</v>
      </c>
      <c r="G16" s="66"/>
      <c r="H16" s="66"/>
      <c r="I16" s="66"/>
      <c r="J16" s="66"/>
      <c r="K16" s="66"/>
      <c r="L16" s="66"/>
    </row>
    <row r="17" spans="1:12">
      <c r="A17" s="66">
        <v>401</v>
      </c>
      <c r="B17" s="66">
        <v>403</v>
      </c>
      <c r="C17" s="66">
        <v>405</v>
      </c>
      <c r="D17" s="66"/>
      <c r="E17" s="66"/>
      <c r="F17" s="66"/>
      <c r="G17" s="66"/>
      <c r="H17" s="66"/>
      <c r="I17" s="66"/>
      <c r="J17" s="66"/>
      <c r="K17" s="66"/>
      <c r="L17" s="66"/>
    </row>
    <row r="18" spans="1:12">
      <c r="A18" s="66">
        <v>413</v>
      </c>
      <c r="B18" s="66">
        <v>415</v>
      </c>
      <c r="C18" s="66">
        <v>417</v>
      </c>
      <c r="D18" s="66">
        <v>419</v>
      </c>
      <c r="E18" s="66"/>
      <c r="F18" s="66"/>
      <c r="G18" s="66"/>
      <c r="H18" s="66"/>
      <c r="I18" s="66"/>
      <c r="J18" s="66"/>
      <c r="K18" s="66"/>
      <c r="L18" s="66"/>
    </row>
    <row r="19" spans="1:12">
      <c r="A19" s="66">
        <v>450</v>
      </c>
      <c r="B19" s="66">
        <v>431</v>
      </c>
      <c r="C19" s="66">
        <v>433</v>
      </c>
      <c r="D19" s="66">
        <v>436</v>
      </c>
      <c r="E19" s="66">
        <v>437</v>
      </c>
      <c r="F19" s="66">
        <v>438</v>
      </c>
      <c r="G19" s="66">
        <v>442</v>
      </c>
      <c r="H19" s="66">
        <v>443</v>
      </c>
      <c r="I19" s="66">
        <v>444</v>
      </c>
      <c r="J19" s="66">
        <v>447</v>
      </c>
      <c r="K19" s="66">
        <v>448</v>
      </c>
      <c r="L19" s="66">
        <v>449</v>
      </c>
    </row>
    <row r="20" spans="1:12">
      <c r="A20" s="66">
        <v>452</v>
      </c>
      <c r="B20" s="66">
        <v>453</v>
      </c>
      <c r="C20" s="66">
        <v>454</v>
      </c>
      <c r="D20" s="66"/>
      <c r="E20" s="66"/>
      <c r="F20" s="66"/>
      <c r="G20" s="66"/>
      <c r="H20" s="66"/>
      <c r="I20" s="66"/>
      <c r="J20" s="66"/>
      <c r="K20" s="66"/>
      <c r="L20" s="66"/>
    </row>
    <row r="21" spans="1:12">
      <c r="A21" s="66">
        <v>455</v>
      </c>
      <c r="B21" s="66">
        <v>456</v>
      </c>
      <c r="C21" s="66">
        <v>457</v>
      </c>
      <c r="D21" s="66"/>
      <c r="E21" s="66"/>
      <c r="F21" s="66"/>
      <c r="G21" s="66"/>
      <c r="H21" s="66"/>
      <c r="I21" s="66"/>
      <c r="J21" s="66"/>
      <c r="K21" s="66"/>
      <c r="L21" s="66"/>
    </row>
    <row r="22" spans="1:12">
      <c r="A22" s="66">
        <v>458</v>
      </c>
      <c r="B22" s="66">
        <v>450</v>
      </c>
      <c r="C22" s="66">
        <v>451</v>
      </c>
      <c r="D22" s="66"/>
      <c r="E22" s="66"/>
      <c r="F22" s="66"/>
      <c r="G22" s="66"/>
      <c r="H22" s="66"/>
      <c r="I22" s="66"/>
      <c r="J22" s="66"/>
      <c r="K22" s="66"/>
      <c r="L22" s="66"/>
    </row>
    <row r="23" spans="1:12">
      <c r="A23" s="66">
        <v>475</v>
      </c>
      <c r="B23" s="66">
        <v>477</v>
      </c>
      <c r="C23" s="66">
        <v>478</v>
      </c>
      <c r="D23" s="66">
        <v>479</v>
      </c>
      <c r="E23" s="66">
        <v>480</v>
      </c>
      <c r="F23" s="66"/>
      <c r="G23" s="66"/>
      <c r="H23" s="66"/>
      <c r="I23" s="66"/>
      <c r="J23" s="66"/>
      <c r="K23" s="66"/>
      <c r="L23" s="66"/>
    </row>
    <row r="24" spans="1:12">
      <c r="A24" s="66">
        <v>480</v>
      </c>
      <c r="B24" s="66">
        <v>482</v>
      </c>
      <c r="C24" s="66">
        <v>483</v>
      </c>
      <c r="D24" s="66">
        <v>484</v>
      </c>
      <c r="E24" s="66">
        <v>485</v>
      </c>
      <c r="F24" s="66">
        <v>486</v>
      </c>
      <c r="G24" s="66"/>
      <c r="H24" s="66"/>
      <c r="I24" s="66"/>
      <c r="J24" s="66"/>
      <c r="K24" s="66"/>
      <c r="L24" s="66"/>
    </row>
    <row r="25" spans="1:12">
      <c r="A25" s="66">
        <v>488</v>
      </c>
      <c r="B25" s="66">
        <v>460</v>
      </c>
      <c r="C25" s="66">
        <v>463</v>
      </c>
      <c r="D25" s="66">
        <v>467</v>
      </c>
      <c r="E25" s="66">
        <v>470</v>
      </c>
      <c r="F25" s="66">
        <v>471</v>
      </c>
      <c r="G25" s="66">
        <v>472</v>
      </c>
      <c r="H25" s="66">
        <v>473</v>
      </c>
      <c r="I25" s="66">
        <v>474</v>
      </c>
      <c r="J25" s="66">
        <v>475</v>
      </c>
      <c r="K25" s="66">
        <v>487</v>
      </c>
      <c r="L25" s="66"/>
    </row>
    <row r="26" spans="1:12">
      <c r="A26" s="66">
        <v>492</v>
      </c>
      <c r="B26" s="66">
        <v>494</v>
      </c>
      <c r="C26" s="66">
        <v>495</v>
      </c>
      <c r="D26" s="66">
        <v>496</v>
      </c>
      <c r="E26" s="66">
        <v>500</v>
      </c>
      <c r="F26" s="66">
        <v>501</v>
      </c>
      <c r="G26" s="66"/>
      <c r="H26" s="66"/>
      <c r="I26" s="66"/>
      <c r="J26" s="66"/>
      <c r="K26" s="66"/>
      <c r="L26" s="66"/>
    </row>
    <row r="27" spans="1:12">
      <c r="A27" s="66">
        <v>496</v>
      </c>
      <c r="B27" s="66">
        <v>497</v>
      </c>
      <c r="C27" s="66">
        <v>498</v>
      </c>
      <c r="D27" s="66">
        <v>499</v>
      </c>
      <c r="E27" s="66"/>
      <c r="F27" s="66"/>
      <c r="J27" s="66"/>
      <c r="K27" s="66"/>
      <c r="L27" s="66"/>
    </row>
    <row r="28" spans="1:12">
      <c r="A28" s="66">
        <v>504</v>
      </c>
      <c r="B28" s="66">
        <v>506</v>
      </c>
      <c r="C28" s="66">
        <v>508</v>
      </c>
      <c r="D28" s="66">
        <v>509</v>
      </c>
      <c r="E28" s="66"/>
      <c r="F28" s="66"/>
      <c r="G28" s="66"/>
      <c r="H28" s="66"/>
      <c r="I28" s="66"/>
      <c r="J28" s="66"/>
      <c r="K28" s="66"/>
      <c r="L28" s="66"/>
    </row>
    <row r="29" spans="1:12">
      <c r="A29" s="66">
        <v>572</v>
      </c>
      <c r="B29" s="66">
        <v>574</v>
      </c>
      <c r="C29" s="66">
        <v>575</v>
      </c>
      <c r="D29" s="66">
        <v>576</v>
      </c>
      <c r="E29" s="66"/>
      <c r="F29" s="66"/>
      <c r="G29" s="66"/>
      <c r="H29" s="66"/>
      <c r="I29" s="66"/>
      <c r="J29" s="66"/>
      <c r="K29" s="66"/>
      <c r="L29" s="66"/>
    </row>
    <row r="30" spans="1:12">
      <c r="A30" s="66">
        <v>585</v>
      </c>
      <c r="B30" s="66">
        <v>587</v>
      </c>
      <c r="C30" s="66">
        <v>588</v>
      </c>
      <c r="D30" s="66">
        <v>589</v>
      </c>
      <c r="E30" s="66"/>
      <c r="F30" s="66"/>
      <c r="G30" s="66"/>
      <c r="H30" s="66"/>
      <c r="I30" s="66"/>
      <c r="J30" s="66"/>
      <c r="K30" s="66"/>
      <c r="L30" s="66"/>
    </row>
    <row r="31" spans="1:12">
      <c r="A31" s="66">
        <v>600</v>
      </c>
      <c r="B31" s="66">
        <v>602</v>
      </c>
      <c r="C31" s="66">
        <v>604</v>
      </c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>
        <v>606</v>
      </c>
      <c r="B32" s="66">
        <v>608</v>
      </c>
      <c r="C32" s="66">
        <v>610</v>
      </c>
      <c r="D32" s="66"/>
      <c r="E32" s="66"/>
      <c r="F32" s="66"/>
      <c r="G32" s="66"/>
      <c r="H32" s="66"/>
      <c r="I32" s="66"/>
      <c r="J32" s="66"/>
      <c r="K32" s="66"/>
      <c r="L32" s="66"/>
    </row>
    <row r="33" spans="1:12">
      <c r="A33" s="66">
        <v>618</v>
      </c>
      <c r="B33" s="66">
        <v>620</v>
      </c>
      <c r="C33" s="66">
        <v>622</v>
      </c>
      <c r="D33" s="66"/>
      <c r="E33" s="66"/>
      <c r="F33" s="66"/>
      <c r="G33" s="66"/>
      <c r="H33" s="66"/>
      <c r="I33" s="66"/>
      <c r="J33" s="66"/>
      <c r="K33" s="66"/>
      <c r="L33" s="66"/>
    </row>
    <row r="34" spans="1:1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1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1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1:1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1:1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1:1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1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1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1:1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1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1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1:1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1:1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1:1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1:1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1:1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1:1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1:1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1:1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1:1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1:1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1:1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1:1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1:1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1:1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1:1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1:1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1:1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1:1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1:1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1:1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1:1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1:1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1:1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1:1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1:1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1:1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1:1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1:1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1:1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1:1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1:1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1:1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1:1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</row>
    <row r="106" spans="1:1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</row>
    <row r="107" spans="1:1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</row>
    <row r="108" spans="1:1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1:1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1:1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</row>
    <row r="111" spans="1:1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</row>
    <row r="112" spans="1:1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</row>
    <row r="113" spans="1:1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</row>
    <row r="114" spans="1:1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</row>
    <row r="115" spans="1:1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</row>
    <row r="116" spans="1:1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</row>
    <row r="117" spans="1:1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</row>
    <row r="118" spans="1:1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1:1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</row>
    <row r="120" spans="1:1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</row>
    <row r="121" spans="1:1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</row>
    <row r="122" spans="1:1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</row>
    <row r="123" spans="1:1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</row>
    <row r="124" spans="1:1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</row>
    <row r="125" spans="1:1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</row>
    <row r="126" spans="1:1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</row>
    <row r="127" spans="1:1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</row>
    <row r="128" spans="1:1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</row>
    <row r="129" spans="1:1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</row>
    <row r="130" spans="1:1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</row>
    <row r="131" spans="1:1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</row>
    <row r="132" spans="1:1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</row>
    <row r="133" spans="1:1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</row>
    <row r="134" spans="1:1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</row>
    <row r="135" spans="1:1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</row>
    <row r="136" spans="1:1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</row>
    <row r="137" spans="1:1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</row>
    <row r="138" spans="1:1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</row>
    <row r="139" spans="1:1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</row>
    <row r="140" spans="1:1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</row>
    <row r="141" spans="1:1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</row>
    <row r="142" spans="1:1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</row>
    <row r="143" spans="1:1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</row>
    <row r="144" spans="1:1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</row>
    <row r="145" spans="1:1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</row>
    <row r="146" spans="1:1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</row>
    <row r="147" spans="1:1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</row>
    <row r="148" spans="1:1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</row>
    <row r="149" spans="1:1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</row>
    <row r="150" spans="1:1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</row>
    <row r="151" spans="1:1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</row>
    <row r="152" spans="1:1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</row>
    <row r="153" spans="1:1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</row>
    <row r="154" spans="1:1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</row>
    <row r="155" spans="1:1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</row>
    <row r="156" spans="1:1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</row>
    <row r="157" spans="1:1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</row>
    <row r="158" spans="1:1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</row>
    <row r="159" spans="1:1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</row>
    <row r="160" spans="1:1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</row>
    <row r="161" spans="1:1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</row>
    <row r="162" spans="1:1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</row>
    <row r="163" spans="1:1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</row>
    <row r="164" spans="1:1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</row>
    <row r="165" spans="1:1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</row>
    <row r="166" spans="1:1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</row>
    <row r="167" spans="1:1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</row>
    <row r="168" spans="1:1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</row>
    <row r="169" spans="1:1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</row>
    <row r="170" spans="1:1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</row>
    <row r="171" spans="1:1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</row>
    <row r="172" spans="1:1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</row>
    <row r="173" spans="1:1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</row>
    <row r="174" spans="1:1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</row>
    <row r="175" spans="1:1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</row>
    <row r="176" spans="1:1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</row>
    <row r="177" spans="1:1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</row>
    <row r="178" spans="1:1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</row>
    <row r="179" spans="1:1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</row>
    <row r="180" spans="1:1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</row>
    <row r="181" spans="1:1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</row>
    <row r="182" spans="1:1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</row>
    <row r="183" spans="1:1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</row>
    <row r="184" spans="1:1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</row>
    <row r="185" spans="1:1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</row>
    <row r="186" spans="1:1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</row>
    <row r="187" spans="1:1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</row>
    <row r="188" spans="1:1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</row>
    <row r="189" spans="1:1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</row>
    <row r="190" spans="1:1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</row>
    <row r="191" spans="1:1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</row>
    <row r="192" spans="1:1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</row>
    <row r="193" spans="1:1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</row>
    <row r="194" spans="1:1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</row>
    <row r="195" spans="1:1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</row>
    <row r="196" spans="1:1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</row>
    <row r="197" spans="1:1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</row>
    <row r="198" spans="1:1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</row>
    <row r="199" spans="1:1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</row>
    <row r="200" spans="1:1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</row>
    <row r="201" spans="1:1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</row>
    <row r="202" spans="1:1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</row>
    <row r="203" spans="1:1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</row>
    <row r="204" spans="1:1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</row>
    <row r="205" spans="1:1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</row>
    <row r="206" spans="1:1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</row>
    <row r="207" spans="1:1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</row>
    <row r="208" spans="1:1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</row>
    <row r="209" spans="1:1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</row>
    <row r="210" spans="1:1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</row>
    <row r="211" spans="1:1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</row>
    <row r="212" spans="1:1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</row>
    <row r="213" spans="1:1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</row>
    <row r="214" spans="1:1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</row>
    <row r="215" spans="1:1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</row>
    <row r="216" spans="1:1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</row>
    <row r="217" spans="1:1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</row>
    <row r="218" spans="1:1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</row>
    <row r="219" spans="1:1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</row>
    <row r="220" spans="1:1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</row>
    <row r="221" spans="1:1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</row>
    <row r="222" spans="1:1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</row>
    <row r="223" spans="1:1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</row>
    <row r="224" spans="1:1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</row>
    <row r="225" spans="1:1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</row>
    <row r="226" spans="1:1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</row>
    <row r="227" spans="1:1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</row>
    <row r="228" spans="1:1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</row>
    <row r="229" spans="1:1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</row>
    <row r="230" spans="1:1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</row>
    <row r="231" spans="1:1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</row>
    <row r="232" spans="1:1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</row>
    <row r="233" spans="1:1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</row>
    <row r="234" spans="1:1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</row>
    <row r="235" spans="1:1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</row>
    <row r="236" spans="1:1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</row>
    <row r="237" spans="1:1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</row>
    <row r="238" spans="1:1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</row>
    <row r="239" spans="1:1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</row>
    <row r="240" spans="1:1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</row>
    <row r="241" spans="1:1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</row>
    <row r="242" spans="1:1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</row>
    <row r="243" spans="1:1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</row>
    <row r="244" spans="1:1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</row>
    <row r="245" spans="1:1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</row>
    <row r="246" spans="1:1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</row>
    <row r="247" spans="1:1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</row>
    <row r="248" spans="1:1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</row>
    <row r="249" spans="1:1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</row>
    <row r="250" spans="1:1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</row>
    <row r="251" spans="1:1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</row>
    <row r="252" spans="1:1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</row>
    <row r="253" spans="1:1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</row>
    <row r="254" spans="1:1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</row>
    <row r="255" spans="1:1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</row>
    <row r="256" spans="1:1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</row>
    <row r="257" spans="1:1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</row>
    <row r="258" spans="1:1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</row>
    <row r="259" spans="1:1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</row>
    <row r="260" spans="1:1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</row>
    <row r="261" spans="1:1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</row>
    <row r="262" spans="1:1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</row>
    <row r="263" spans="1:1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</row>
    <row r="264" spans="1:1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</row>
    <row r="265" spans="1:1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</row>
    <row r="266" spans="1:1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</row>
    <row r="267" spans="1:1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</row>
    <row r="268" spans="1:1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</row>
    <row r="269" spans="1:1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</row>
    <row r="270" spans="1:1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</row>
    <row r="271" spans="1:1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</row>
    <row r="272" spans="1:1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</row>
    <row r="273" spans="1:1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</row>
    <row r="274" spans="1:1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</row>
    <row r="275" spans="1:1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</row>
    <row r="276" spans="1:1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</row>
    <row r="277" spans="1:1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</row>
    <row r="278" spans="1:1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</row>
    <row r="279" spans="1:1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</row>
    <row r="280" spans="1:1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</row>
    <row r="281" spans="1:1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</row>
    <row r="282" spans="1:1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</row>
    <row r="283" spans="1:1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</row>
    <row r="284" spans="1:1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</row>
    <row r="285" spans="1:1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</row>
    <row r="286" spans="1:1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</row>
    <row r="287" spans="1:1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</row>
    <row r="288" spans="1:1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</row>
    <row r="289" spans="1:1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</row>
    <row r="290" spans="1:1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</row>
    <row r="291" spans="1:1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</row>
    <row r="292" spans="1:1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</row>
    <row r="293" spans="1:1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</row>
    <row r="294" spans="1:1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</row>
    <row r="295" spans="1:1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</row>
    <row r="296" spans="1:1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</row>
    <row r="297" spans="1:1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</row>
    <row r="298" spans="1:1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</row>
    <row r="299" spans="1:1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</row>
    <row r="300" spans="1:1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</row>
    <row r="301" spans="1:1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</row>
    <row r="302" spans="1:1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</row>
    <row r="303" spans="1:1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</row>
    <row r="304" spans="1:1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</row>
    <row r="305" spans="1:1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</row>
    <row r="306" spans="1:1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</row>
    <row r="307" spans="1:1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</row>
    <row r="308" spans="1:1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</row>
    <row r="309" spans="1:1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</row>
    <row r="310" spans="1:1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</row>
    <row r="311" spans="1:1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</row>
    <row r="312" spans="1:1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</row>
    <row r="313" spans="1:1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</row>
    <row r="314" spans="1:1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</row>
    <row r="315" spans="1:1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</row>
    <row r="316" spans="1:1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</row>
    <row r="317" spans="1:1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</row>
    <row r="318" spans="1:1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</row>
    <row r="319" spans="1:1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</row>
    <row r="320" spans="1:1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</row>
    <row r="321" spans="1:1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</row>
    <row r="322" spans="1:1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</row>
    <row r="323" spans="1:1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</row>
    <row r="324" spans="1:1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</row>
    <row r="325" spans="1:1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</row>
    <row r="326" spans="1:1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</row>
    <row r="327" spans="1:1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</row>
    <row r="328" spans="1:1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</row>
    <row r="329" spans="1:1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</row>
    <row r="330" spans="1:1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</row>
    <row r="331" spans="1:1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</row>
    <row r="332" spans="1:1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</row>
    <row r="333" spans="1:1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</row>
    <row r="334" spans="1:1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</row>
    <row r="335" spans="1:1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</row>
    <row r="336" spans="1:1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</row>
    <row r="337" spans="1:1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</row>
    <row r="338" spans="1:1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</row>
    <row r="339" spans="1:1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</row>
    <row r="340" spans="1:1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</row>
    <row r="341" spans="1:1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</row>
    <row r="342" spans="1:1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</row>
    <row r="343" spans="1:1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</row>
    <row r="344" spans="1:1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</row>
    <row r="345" spans="1:1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</row>
    <row r="346" spans="1:1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</row>
    <row r="347" spans="1:1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</row>
    <row r="348" spans="1:1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</row>
    <row r="349" spans="1:1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</row>
    <row r="350" spans="1:1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</row>
    <row r="351" spans="1:1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</row>
    <row r="352" spans="1:1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</row>
    <row r="353" spans="1:1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</row>
    <row r="354" spans="1:1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</row>
    <row r="355" spans="1:1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</row>
    <row r="356" spans="1:1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</row>
    <row r="357" spans="1:1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</row>
    <row r="358" spans="1:1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</row>
    <row r="359" spans="1:1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</row>
    <row r="360" spans="1:1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</row>
    <row r="361" spans="1:1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</row>
    <row r="362" spans="1:1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</row>
    <row r="363" spans="1:1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</row>
    <row r="364" spans="1:1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</row>
    <row r="365" spans="1:1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</row>
    <row r="366" spans="1:1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</row>
    <row r="367" spans="1:1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</row>
    <row r="368" spans="1:1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</row>
    <row r="369" spans="1:1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</row>
    <row r="370" spans="1:1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</row>
    <row r="371" spans="1:1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</row>
    <row r="372" spans="1:1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</row>
    <row r="373" spans="1:1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</row>
    <row r="374" spans="1:1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</row>
    <row r="375" spans="1:1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</row>
    <row r="376" spans="1:1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</row>
    <row r="377" spans="1:1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</row>
    <row r="378" spans="1:1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</row>
    <row r="379" spans="1:1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</row>
    <row r="380" spans="1:1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</row>
    <row r="381" spans="1:1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</row>
    <row r="382" spans="1:1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</row>
    <row r="383" spans="1:1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</row>
    <row r="384" spans="1:1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</row>
    <row r="385" spans="1:1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</row>
    <row r="386" spans="1:1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</row>
    <row r="387" spans="1:1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</row>
    <row r="388" spans="1:1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</row>
    <row r="389" spans="1:1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</row>
    <row r="390" spans="1:1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</row>
    <row r="391" spans="1:1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</row>
    <row r="392" spans="1:1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</row>
    <row r="393" spans="1:1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</row>
    <row r="394" spans="1:1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</row>
    <row r="395" spans="1:1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</row>
    <row r="396" spans="1:1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</row>
    <row r="397" spans="1:1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</row>
    <row r="398" spans="1:1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</row>
    <row r="399" spans="1:1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</row>
    <row r="400" spans="1:1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</row>
    <row r="401" spans="1:1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</row>
    <row r="402" spans="1:1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</row>
    <row r="403" spans="1:1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</row>
    <row r="404" spans="1:1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</row>
    <row r="405" spans="1:1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</row>
    <row r="406" spans="1:1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</row>
    <row r="407" spans="1:1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</row>
    <row r="408" spans="1:1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</row>
    <row r="409" spans="1:1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</row>
    <row r="410" spans="1:1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</row>
    <row r="411" spans="1:1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</row>
    <row r="412" spans="1:1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</row>
    <row r="413" spans="1:1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</row>
    <row r="414" spans="1:1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</row>
    <row r="415" spans="1:1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</row>
    <row r="416" spans="1:1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</row>
    <row r="417" spans="1:1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</row>
    <row r="418" spans="1:1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</row>
    <row r="419" spans="1:1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</row>
    <row r="420" spans="1:1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</row>
    <row r="421" spans="1:1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</row>
    <row r="422" spans="1:1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</row>
    <row r="423" spans="1:1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</row>
    <row r="424" spans="1:1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</row>
    <row r="425" spans="1:1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</row>
    <row r="426" spans="1:1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</row>
    <row r="427" spans="1:1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</row>
    <row r="428" spans="1:1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</row>
    <row r="429" spans="1:1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</row>
    <row r="430" spans="1:1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</row>
    <row r="431" spans="1:1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</row>
    <row r="432" spans="1:1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</row>
    <row r="433" spans="1:1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</row>
    <row r="434" spans="1:1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</row>
    <row r="435" spans="1:1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</row>
    <row r="436" spans="1:1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</row>
    <row r="437" spans="1:1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</row>
    <row r="438" spans="1:1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</row>
    <row r="439" spans="1:1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</row>
    <row r="440" spans="1:1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</row>
    <row r="441" spans="1:1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</row>
    <row r="442" spans="1:1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</row>
    <row r="443" spans="1:1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</row>
    <row r="444" spans="1:1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</row>
    <row r="445" spans="1:1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</row>
    <row r="446" spans="1:1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</row>
    <row r="447" spans="1:1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</row>
    <row r="448" spans="1:1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</row>
    <row r="449" spans="1:1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</row>
    <row r="450" spans="1:1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</row>
    <row r="451" spans="1:1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</row>
    <row r="452" spans="1:1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</row>
    <row r="453" spans="1:1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</row>
    <row r="454" spans="1:1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</row>
    <row r="455" spans="1:1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</row>
    <row r="456" spans="1:1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</row>
    <row r="457" spans="1:1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</row>
    <row r="458" spans="1:1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</row>
    <row r="459" spans="1:1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</row>
    <row r="460" spans="1:1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</row>
    <row r="461" spans="1:1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</row>
    <row r="462" spans="1:1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</row>
    <row r="463" spans="1:1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</row>
    <row r="464" spans="1:1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</row>
    <row r="465" spans="1:1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</row>
    <row r="466" spans="1:1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</row>
    <row r="467" spans="1:1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</row>
    <row r="468" spans="1:1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</row>
    <row r="469" spans="1:1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</row>
    <row r="470" spans="1:1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</row>
    <row r="471" spans="1:1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</row>
    <row r="472" spans="1:1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</row>
    <row r="473" spans="1:1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</row>
    <row r="474" spans="1:1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</row>
    <row r="475" spans="1:1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</row>
    <row r="476" spans="1:1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</row>
    <row r="477" spans="1:1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</row>
    <row r="478" spans="1:1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</row>
    <row r="479" spans="1:1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</row>
    <row r="480" spans="1:1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</row>
    <row r="481" spans="1:1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</row>
    <row r="482" spans="1:1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</row>
    <row r="483" spans="1:1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</row>
    <row r="484" spans="1:1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</row>
    <row r="485" spans="1:1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</row>
    <row r="486" spans="1:1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</row>
    <row r="487" spans="1:1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</row>
    <row r="488" spans="1:1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</row>
    <row r="489" spans="1:1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</row>
    <row r="490" spans="1:1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</row>
    <row r="491" spans="1:1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</row>
    <row r="492" spans="1:1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</row>
    <row r="493" spans="1:1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</row>
    <row r="494" spans="1:1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</row>
    <row r="495" spans="1:1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</row>
    <row r="496" spans="1:1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</row>
    <row r="497" spans="1:1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</row>
    <row r="498" spans="1:1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</row>
    <row r="499" spans="1:1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</row>
    <row r="500" spans="1:1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</row>
    <row r="501" spans="1:1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</row>
    <row r="502" spans="1:1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</row>
    <row r="503" spans="1:1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</row>
    <row r="504" spans="1:1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</row>
    <row r="505" spans="1:1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</row>
    <row r="506" spans="1:1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</row>
    <row r="507" spans="1:1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</row>
    <row r="508" spans="1:1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</row>
    <row r="509" spans="1:1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</row>
    <row r="510" spans="1:1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</row>
    <row r="511" spans="1:1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</row>
    <row r="512" spans="1:1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</row>
    <row r="513" spans="1:1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</row>
    <row r="514" spans="1:1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</row>
    <row r="515" spans="1:1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</row>
    <row r="516" spans="1:1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</row>
    <row r="517" spans="1:1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</row>
    <row r="518" spans="1:1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</row>
    <row r="519" spans="1:1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</row>
    <row r="520" spans="1:1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</row>
    <row r="521" spans="1:1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</row>
    <row r="522" spans="1:1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</row>
    <row r="523" spans="1:1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</row>
    <row r="524" spans="1:1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</row>
    <row r="525" spans="1:1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</row>
    <row r="526" spans="1:1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</row>
    <row r="527" spans="1:1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</row>
    <row r="528" spans="1:1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</row>
    <row r="529" spans="1:1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</row>
    <row r="530" spans="1:1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</row>
    <row r="531" spans="1:1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</row>
    <row r="532" spans="1:1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</row>
    <row r="533" spans="1:1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</row>
    <row r="534" spans="1:1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</row>
    <row r="535" spans="1:1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</row>
    <row r="536" spans="1:1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</row>
    <row r="537" spans="1:1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</row>
    <row r="538" spans="1:1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</row>
    <row r="539" spans="1:1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</row>
    <row r="540" spans="1:1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</row>
    <row r="541" spans="1:1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</row>
    <row r="542" spans="1:1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</row>
    <row r="543" spans="1:1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</row>
    <row r="544" spans="1:1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</row>
    <row r="545" spans="1:1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</row>
    <row r="546" spans="1:1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</row>
    <row r="547" spans="1:1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</row>
    <row r="548" spans="1:1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</row>
    <row r="549" spans="1:1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</row>
    <row r="550" spans="1:1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</row>
    <row r="551" spans="1:1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</row>
    <row r="552" spans="1:1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</row>
    <row r="553" spans="1:1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</row>
    <row r="554" spans="1:1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</row>
    <row r="555" spans="1:1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</row>
    <row r="556" spans="1:1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</row>
    <row r="557" spans="1:1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</row>
    <row r="558" spans="1:1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</row>
    <row r="559" spans="1:1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</row>
    <row r="560" spans="1:1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</row>
    <row r="561" spans="1:1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</row>
    <row r="562" spans="1:1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</row>
    <row r="563" spans="1:1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</row>
    <row r="564" spans="1:1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</row>
    <row r="565" spans="1:1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</row>
    <row r="566" spans="1:1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</row>
    <row r="567" spans="1:1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</row>
    <row r="568" spans="1:1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</row>
    <row r="569" spans="1:1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</row>
    <row r="570" spans="1:1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</row>
    <row r="571" spans="1:1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</row>
    <row r="572" spans="1:1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</row>
  </sheetData>
  <customSheetViews>
    <customSheetView guid="{77D4B8AA-2D12-454E-8920-2F102814BFC0}" state="hidden" showRuler="0">
      <selection activeCell="D28" sqref="D28"/>
      <pageMargins left="0.41" right="0.28000000000000003" top="1" bottom="1" header="0.5" footer="0.5"/>
      <pageSetup paperSize="9" orientation="landscape" r:id="rId1"/>
      <headerFooter alignWithMargins="0">
        <oddHeader>&amp;A</oddHeader>
        <oddFooter>Страница &amp;P</oddFooter>
      </headerFooter>
    </customSheetView>
    <customSheetView guid="{0F955BED-3AA5-4ED9-8747-25E63CDA70F7}" state="hidden" showRuler="0">
      <selection activeCell="D28" sqref="D28"/>
      <pageMargins left="0.41" right="0.28000000000000003" top="1" bottom="1" header="0.5" footer="0.5"/>
      <pageSetup paperSize="9" orientation="landscape" r:id="rId2"/>
      <headerFooter alignWithMargins="0">
        <oddHeader>&amp;A</oddHeader>
        <oddFooter>Страница &amp;P</oddFooter>
      </headerFooter>
    </customSheetView>
    <customSheetView guid="{F999748C-9832-11D8-83FB-00E04C392051}" state="hidden" showRuler="0">
      <selection activeCell="D28" sqref="D28"/>
      <pageMargins left="0.41" right="0.28000000000000003" top="1" bottom="1" header="0.5" footer="0.5"/>
      <pageSetup paperSize="9" orientation="landscape" r:id="rId3"/>
      <headerFooter alignWithMargins="0">
        <oddHeader>&amp;A</oddHeader>
        <oddFooter>Страница &amp;P</oddFooter>
      </headerFooter>
    </customSheetView>
    <customSheetView guid="{1CCF9464-AEC0-4C0F-98A5-E7B17D04C7EE}" state="hidden" showRuler="0">
      <selection activeCell="D28" sqref="D28"/>
      <pageMargins left="0.41" right="0.28000000000000003" top="1" bottom="1" header="0.5" footer="0.5"/>
      <pageSetup paperSize="9" orientation="landscape" r:id="rId4"/>
      <headerFooter alignWithMargins="0">
        <oddHeader>&amp;A</oddHeader>
        <oddFooter>Страница &amp;P</oddFooter>
      </headerFooter>
    </customSheetView>
    <customSheetView guid="{4D3410BB-2371-487E-AAF7-AC8AFE6E56CA}" state="hidden" showRuler="0">
      <selection activeCell="D28" sqref="D28"/>
      <pageMargins left="0.41" right="0.28000000000000003" top="1" bottom="1" header="0.5" footer="0.5"/>
      <pageSetup paperSize="9" orientation="landscape" r:id="rId5"/>
      <headerFooter alignWithMargins="0">
        <oddHeader>&amp;A</oddHeader>
        <oddFooter>Страница &amp;P</oddFooter>
      </headerFooter>
    </customSheetView>
  </customSheetViews>
  <phoneticPr fontId="0" type="noConversion"/>
  <pageMargins left="0.41" right="0.28000000000000003" top="1" bottom="1" header="0.5" footer="0.5"/>
  <pageSetup paperSize="9" orientation="landscape" r:id="rId6"/>
  <headerFooter alignWithMargins="0">
    <oddHeader>&amp;A</oddHeader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/>
  <dimension ref="A1:C112"/>
  <sheetViews>
    <sheetView topLeftCell="A76" workbookViewId="0">
      <selection activeCell="B111" sqref="B111"/>
    </sheetView>
  </sheetViews>
  <sheetFormatPr defaultRowHeight="12.75"/>
  <cols>
    <col min="1" max="1" width="73.28515625" customWidth="1"/>
  </cols>
  <sheetData>
    <row r="1" spans="1:1">
      <c r="A1" s="32" t="s">
        <v>435</v>
      </c>
    </row>
    <row r="2" spans="1:1">
      <c r="A2" s="32" t="s">
        <v>436</v>
      </c>
    </row>
    <row r="3" spans="1:1">
      <c r="A3" s="32" t="s">
        <v>437</v>
      </c>
    </row>
    <row r="4" spans="1:1">
      <c r="A4" s="32" t="s">
        <v>438</v>
      </c>
    </row>
    <row r="5" spans="1:1">
      <c r="A5" s="32" t="s">
        <v>439</v>
      </c>
    </row>
    <row r="6" spans="1:1">
      <c r="A6" s="32" t="s">
        <v>440</v>
      </c>
    </row>
    <row r="7" spans="1:1">
      <c r="A7" s="32" t="s">
        <v>441</v>
      </c>
    </row>
    <row r="8" spans="1:1">
      <c r="A8" s="32" t="s">
        <v>442</v>
      </c>
    </row>
    <row r="9" spans="1:1">
      <c r="A9" s="32" t="s">
        <v>443</v>
      </c>
    </row>
    <row r="10" spans="1:1">
      <c r="A10" s="32" t="s">
        <v>444</v>
      </c>
    </row>
    <row r="11" spans="1:1">
      <c r="A11" s="32" t="s">
        <v>445</v>
      </c>
    </row>
    <row r="12" spans="1:1">
      <c r="A12" s="32" t="s">
        <v>446</v>
      </c>
    </row>
    <row r="13" spans="1:1">
      <c r="A13" s="32" t="s">
        <v>447</v>
      </c>
    </row>
    <row r="14" spans="1:1">
      <c r="A14" s="32" t="s">
        <v>448</v>
      </c>
    </row>
    <row r="15" spans="1:1">
      <c r="A15" s="32" t="s">
        <v>449</v>
      </c>
    </row>
    <row r="16" spans="1:1">
      <c r="A16" s="32" t="s">
        <v>450</v>
      </c>
    </row>
    <row r="17" spans="1:1">
      <c r="A17" s="32" t="s">
        <v>451</v>
      </c>
    </row>
    <row r="18" spans="1:1">
      <c r="A18" s="32" t="s">
        <v>452</v>
      </c>
    </row>
    <row r="19" spans="1:1">
      <c r="A19" s="32" t="s">
        <v>456</v>
      </c>
    </row>
    <row r="20" spans="1:1">
      <c r="A20" s="32" t="s">
        <v>457</v>
      </c>
    </row>
    <row r="21" spans="1:1">
      <c r="A21" s="32" t="s">
        <v>458</v>
      </c>
    </row>
    <row r="22" spans="1:1">
      <c r="A22" s="32" t="s">
        <v>459</v>
      </c>
    </row>
    <row r="23" spans="1:1">
      <c r="A23" s="32" t="s">
        <v>460</v>
      </c>
    </row>
    <row r="24" spans="1:1">
      <c r="A24" s="32" t="s">
        <v>461</v>
      </c>
    </row>
    <row r="25" spans="1:1">
      <c r="A25" s="32" t="s">
        <v>462</v>
      </c>
    </row>
    <row r="26" spans="1:1">
      <c r="A26" s="32" t="s">
        <v>463</v>
      </c>
    </row>
    <row r="27" spans="1:1">
      <c r="A27" s="32" t="s">
        <v>464</v>
      </c>
    </row>
    <row r="28" spans="1:1">
      <c r="A28" s="32" t="s">
        <v>465</v>
      </c>
    </row>
    <row r="29" spans="1:1">
      <c r="A29" s="32" t="s">
        <v>466</v>
      </c>
    </row>
    <row r="30" spans="1:1">
      <c r="A30" s="32" t="s">
        <v>467</v>
      </c>
    </row>
    <row r="31" spans="1:1">
      <c r="A31" s="32" t="s">
        <v>468</v>
      </c>
    </row>
    <row r="32" spans="1:1">
      <c r="A32" s="32" t="s">
        <v>469</v>
      </c>
    </row>
    <row r="33" spans="1:1">
      <c r="A33" s="32" t="s">
        <v>470</v>
      </c>
    </row>
    <row r="34" spans="1:1">
      <c r="A34" s="32" t="s">
        <v>471</v>
      </c>
    </row>
    <row r="35" spans="1:1">
      <c r="A35" s="32" t="s">
        <v>472</v>
      </c>
    </row>
    <row r="36" spans="1:1">
      <c r="A36" s="32" t="s">
        <v>473</v>
      </c>
    </row>
    <row r="37" spans="1:1">
      <c r="A37" s="32" t="s">
        <v>474</v>
      </c>
    </row>
    <row r="38" spans="1:1">
      <c r="A38" s="32" t="s">
        <v>475</v>
      </c>
    </row>
    <row r="39" spans="1:1">
      <c r="A39" s="32" t="s">
        <v>481</v>
      </c>
    </row>
    <row r="40" spans="1:1">
      <c r="A40" s="32" t="s">
        <v>482</v>
      </c>
    </row>
    <row r="41" spans="1:1">
      <c r="A41" s="32" t="s">
        <v>483</v>
      </c>
    </row>
    <row r="42" spans="1:1">
      <c r="A42" s="32" t="s">
        <v>170</v>
      </c>
    </row>
    <row r="43" spans="1:1">
      <c r="A43" s="32" t="s">
        <v>484</v>
      </c>
    </row>
    <row r="44" spans="1:1">
      <c r="A44" s="32" t="s">
        <v>485</v>
      </c>
    </row>
    <row r="45" spans="1:1">
      <c r="A45" s="32" t="s">
        <v>260</v>
      </c>
    </row>
    <row r="46" spans="1:1">
      <c r="A46" s="32" t="s">
        <v>486</v>
      </c>
    </row>
    <row r="47" spans="1:1">
      <c r="A47" s="32" t="s">
        <v>487</v>
      </c>
    </row>
    <row r="48" spans="1:1">
      <c r="A48" s="32" t="s">
        <v>488</v>
      </c>
    </row>
    <row r="49" spans="1:1">
      <c r="A49" s="32" t="s">
        <v>489</v>
      </c>
    </row>
    <row r="50" spans="1:1">
      <c r="A50" s="32" t="s">
        <v>490</v>
      </c>
    </row>
    <row r="51" spans="1:1">
      <c r="A51" s="32" t="s">
        <v>491</v>
      </c>
    </row>
    <row r="52" spans="1:1">
      <c r="A52" s="32" t="s">
        <v>492</v>
      </c>
    </row>
    <row r="53" spans="1:1">
      <c r="A53" s="32" t="s">
        <v>493</v>
      </c>
    </row>
    <row r="54" spans="1:1">
      <c r="A54" s="32" t="s">
        <v>494</v>
      </c>
    </row>
    <row r="55" spans="1:1">
      <c r="A55" s="32" t="s">
        <v>495</v>
      </c>
    </row>
    <row r="56" spans="1:1">
      <c r="A56" s="32" t="s">
        <v>496</v>
      </c>
    </row>
    <row r="57" spans="1:1">
      <c r="A57" s="32" t="s">
        <v>497</v>
      </c>
    </row>
    <row r="58" spans="1:1">
      <c r="A58" s="32" t="s">
        <v>498</v>
      </c>
    </row>
    <row r="59" spans="1:1">
      <c r="A59" s="32" t="s">
        <v>499</v>
      </c>
    </row>
    <row r="60" spans="1:1">
      <c r="A60" s="32" t="s">
        <v>500</v>
      </c>
    </row>
    <row r="61" spans="1:1">
      <c r="A61" s="32" t="s">
        <v>501</v>
      </c>
    </row>
    <row r="62" spans="1:1">
      <c r="A62" s="32" t="s">
        <v>502</v>
      </c>
    </row>
    <row r="63" spans="1:1">
      <c r="A63" s="32" t="s">
        <v>503</v>
      </c>
    </row>
    <row r="64" spans="1:1">
      <c r="A64" s="32" t="s">
        <v>504</v>
      </c>
    </row>
    <row r="65" spans="1:1">
      <c r="A65" s="32" t="s">
        <v>505</v>
      </c>
    </row>
    <row r="66" spans="1:1">
      <c r="A66" s="32" t="s">
        <v>506</v>
      </c>
    </row>
    <row r="67" spans="1:1">
      <c r="A67" s="32" t="s">
        <v>507</v>
      </c>
    </row>
    <row r="68" spans="1:1">
      <c r="A68" s="32" t="s">
        <v>508</v>
      </c>
    </row>
    <row r="69" spans="1:1">
      <c r="A69" s="32" t="s">
        <v>509</v>
      </c>
    </row>
    <row r="70" spans="1:1">
      <c r="A70" s="32" t="s">
        <v>510</v>
      </c>
    </row>
    <row r="71" spans="1:1">
      <c r="A71" s="32" t="s">
        <v>511</v>
      </c>
    </row>
    <row r="72" spans="1:1">
      <c r="A72" s="32" t="s">
        <v>512</v>
      </c>
    </row>
    <row r="73" spans="1:1">
      <c r="A73" s="32" t="s">
        <v>513</v>
      </c>
    </row>
    <row r="74" spans="1:1">
      <c r="A74" s="32" t="s">
        <v>514</v>
      </c>
    </row>
    <row r="75" spans="1:1">
      <c r="A75" s="32" t="s">
        <v>515</v>
      </c>
    </row>
    <row r="76" spans="1:1">
      <c r="A76" s="32" t="s">
        <v>516</v>
      </c>
    </row>
    <row r="77" spans="1:1">
      <c r="A77" s="32" t="s">
        <v>517</v>
      </c>
    </row>
    <row r="78" spans="1:1">
      <c r="A78" s="32" t="s">
        <v>518</v>
      </c>
    </row>
    <row r="79" spans="1:1">
      <c r="A79" s="32" t="s">
        <v>519</v>
      </c>
    </row>
    <row r="80" spans="1:1">
      <c r="A80" s="32" t="s">
        <v>520</v>
      </c>
    </row>
    <row r="81" spans="1:3">
      <c r="A81" s="32" t="s">
        <v>521</v>
      </c>
    </row>
    <row r="82" spans="1:3">
      <c r="A82" s="32" t="s">
        <v>522</v>
      </c>
    </row>
    <row r="83" spans="1:3">
      <c r="A83" s="32" t="s">
        <v>523</v>
      </c>
    </row>
    <row r="84" spans="1:3">
      <c r="A84" s="32" t="s">
        <v>524</v>
      </c>
    </row>
    <row r="85" spans="1:3">
      <c r="A85" s="32" t="s">
        <v>525</v>
      </c>
    </row>
    <row r="86" spans="1:3">
      <c r="A86" s="32" t="s">
        <v>526</v>
      </c>
    </row>
    <row r="87" spans="1:3">
      <c r="A87" s="32" t="s">
        <v>527</v>
      </c>
    </row>
    <row r="88" spans="1:3">
      <c r="A88" s="32" t="s">
        <v>528</v>
      </c>
    </row>
    <row r="89" spans="1:3">
      <c r="A89" t="s">
        <v>529</v>
      </c>
    </row>
    <row r="92" spans="1:3">
      <c r="A92" s="33" t="s">
        <v>663</v>
      </c>
      <c r="B92" s="31">
        <v>12</v>
      </c>
      <c r="C92" s="31"/>
    </row>
    <row r="93" spans="1:3">
      <c r="A93" s="34" t="s">
        <v>671</v>
      </c>
      <c r="B93" s="31">
        <v>25</v>
      </c>
      <c r="C93" s="31"/>
    </row>
    <row r="94" spans="1:3">
      <c r="A94" s="34" t="s">
        <v>650</v>
      </c>
      <c r="B94" s="31">
        <v>26</v>
      </c>
      <c r="C94" s="31"/>
    </row>
    <row r="95" spans="1:3">
      <c r="A95" s="34" t="s">
        <v>651</v>
      </c>
      <c r="B95" s="31">
        <v>28</v>
      </c>
      <c r="C95" s="31"/>
    </row>
    <row r="96" spans="1:3">
      <c r="A96" s="34" t="s">
        <v>652</v>
      </c>
      <c r="B96" s="31">
        <v>32</v>
      </c>
      <c r="C96" s="31"/>
    </row>
    <row r="97" spans="1:3">
      <c r="A97" s="34" t="s">
        <v>653</v>
      </c>
      <c r="B97" s="31">
        <v>34</v>
      </c>
      <c r="C97" s="31"/>
    </row>
    <row r="98" spans="1:3">
      <c r="A98" s="34" t="s">
        <v>654</v>
      </c>
      <c r="B98" s="31">
        <v>44</v>
      </c>
      <c r="C98" s="31"/>
    </row>
    <row r="99" spans="1:3">
      <c r="A99" s="34" t="s">
        <v>655</v>
      </c>
      <c r="B99" s="31">
        <v>90</v>
      </c>
      <c r="C99" s="31"/>
    </row>
    <row r="100" spans="1:3">
      <c r="A100" s="34" t="s">
        <v>656</v>
      </c>
      <c r="B100" s="31">
        <v>112</v>
      </c>
      <c r="C100" s="31"/>
    </row>
    <row r="101" spans="1:3">
      <c r="A101" s="34" t="s">
        <v>657</v>
      </c>
      <c r="B101" s="31">
        <v>130</v>
      </c>
      <c r="C101" s="31"/>
    </row>
    <row r="102" spans="1:3">
      <c r="A102" s="34" t="s">
        <v>658</v>
      </c>
      <c r="B102" s="31">
        <v>137</v>
      </c>
      <c r="C102" s="31"/>
    </row>
    <row r="103" spans="1:3">
      <c r="A103" s="34" t="s">
        <v>811</v>
      </c>
      <c r="B103" s="31">
        <v>202</v>
      </c>
      <c r="C103" s="31"/>
    </row>
    <row r="104" spans="1:3">
      <c r="A104" s="34" t="s">
        <v>824</v>
      </c>
      <c r="B104" s="31">
        <v>243</v>
      </c>
      <c r="C104" s="31"/>
    </row>
    <row r="105" spans="1:3">
      <c r="A105" s="7" t="s">
        <v>838</v>
      </c>
      <c r="B105" s="31">
        <v>290</v>
      </c>
      <c r="C105" s="31"/>
    </row>
    <row r="106" spans="1:3">
      <c r="A106" s="34" t="s">
        <v>11</v>
      </c>
      <c r="B106" s="31">
        <v>319</v>
      </c>
      <c r="C106" s="31"/>
    </row>
    <row r="107" spans="1:3">
      <c r="A107" s="34" t="s">
        <v>72</v>
      </c>
      <c r="B107" s="46">
        <v>429</v>
      </c>
    </row>
    <row r="108" spans="1:3">
      <c r="A108" s="211" t="s">
        <v>85</v>
      </c>
      <c r="B108" s="46">
        <v>491</v>
      </c>
    </row>
    <row r="109" spans="1:3">
      <c r="A109" s="211" t="s">
        <v>100</v>
      </c>
      <c r="B109" s="46">
        <v>516</v>
      </c>
    </row>
    <row r="110" spans="1:3">
      <c r="A110" s="211" t="s">
        <v>118</v>
      </c>
      <c r="B110" s="46">
        <v>541</v>
      </c>
    </row>
    <row r="111" spans="1:3">
      <c r="A111" s="211" t="s">
        <v>152</v>
      </c>
      <c r="B111" s="46">
        <v>584</v>
      </c>
    </row>
    <row r="112" spans="1:3">
      <c r="A112" s="212" t="s">
        <v>159</v>
      </c>
      <c r="B112" s="46">
        <v>599</v>
      </c>
    </row>
  </sheetData>
  <sheetProtection password="E16C" sheet="1" objects="1" scenarios="1"/>
  <customSheetViews>
    <customSheetView guid="{77D4B8AA-2D12-454E-8920-2F102814BFC0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F955BED-3AA5-4ED9-8747-25E63CDA70F7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F999748C-9832-11D8-83FB-00E04C392051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CCF9464-AEC0-4C0F-98A5-E7B17D04C7EE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D3410BB-2371-487E-AAF7-AC8AFE6E56CA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1"/>
  <dimension ref="A1:P27"/>
  <sheetViews>
    <sheetView workbookViewId="0">
      <selection activeCell="B24" sqref="B24"/>
    </sheetView>
  </sheetViews>
  <sheetFormatPr defaultRowHeight="12.75"/>
  <sheetData>
    <row r="1" spans="1:15">
      <c r="A1">
        <v>13</v>
      </c>
      <c r="B1">
        <v>15</v>
      </c>
      <c r="C1">
        <v>17</v>
      </c>
    </row>
    <row r="2" spans="1:15">
      <c r="A2">
        <v>27</v>
      </c>
      <c r="B2">
        <v>31</v>
      </c>
      <c r="C2">
        <v>34</v>
      </c>
      <c r="D2">
        <v>37</v>
      </c>
      <c r="E2">
        <v>40</v>
      </c>
      <c r="F2">
        <v>43</v>
      </c>
      <c r="G2">
        <v>46</v>
      </c>
      <c r="H2">
        <v>49</v>
      </c>
    </row>
    <row r="3" spans="1:15">
      <c r="A3">
        <v>63</v>
      </c>
      <c r="B3">
        <v>69</v>
      </c>
      <c r="C3">
        <v>74</v>
      </c>
      <c r="D3">
        <v>90</v>
      </c>
      <c r="E3">
        <v>93</v>
      </c>
      <c r="F3">
        <v>96</v>
      </c>
      <c r="G3">
        <v>99</v>
      </c>
      <c r="H3">
        <v>102</v>
      </c>
      <c r="I3">
        <v>105</v>
      </c>
      <c r="J3">
        <v>108</v>
      </c>
      <c r="K3">
        <v>111</v>
      </c>
      <c r="L3">
        <v>114</v>
      </c>
      <c r="M3">
        <v>117</v>
      </c>
      <c r="N3">
        <v>120</v>
      </c>
      <c r="O3">
        <v>123</v>
      </c>
    </row>
    <row r="4" spans="1:15">
      <c r="A4">
        <v>74</v>
      </c>
      <c r="B4">
        <v>78</v>
      </c>
      <c r="C4">
        <v>81</v>
      </c>
      <c r="D4">
        <v>84</v>
      </c>
      <c r="E4">
        <v>87</v>
      </c>
    </row>
    <row r="5" spans="1:15">
      <c r="A5">
        <v>151</v>
      </c>
      <c r="B5">
        <v>156</v>
      </c>
      <c r="C5">
        <v>158</v>
      </c>
      <c r="D5">
        <v>160</v>
      </c>
    </row>
    <row r="6" spans="1:15">
      <c r="A6">
        <v>151</v>
      </c>
      <c r="B6">
        <v>162</v>
      </c>
      <c r="C6">
        <v>165</v>
      </c>
    </row>
    <row r="7" spans="1:15">
      <c r="A7">
        <v>172</v>
      </c>
      <c r="B7">
        <v>174</v>
      </c>
      <c r="C7">
        <v>175</v>
      </c>
      <c r="D7">
        <v>176</v>
      </c>
    </row>
    <row r="8" spans="1:15">
      <c r="A8">
        <v>177</v>
      </c>
      <c r="B8">
        <v>179</v>
      </c>
      <c r="C8">
        <v>180</v>
      </c>
      <c r="D8">
        <v>181</v>
      </c>
    </row>
    <row r="9" spans="1:15">
      <c r="A9">
        <v>182</v>
      </c>
      <c r="B9">
        <v>185</v>
      </c>
      <c r="C9">
        <v>187</v>
      </c>
      <c r="D9">
        <v>189</v>
      </c>
    </row>
    <row r="10" spans="1:15">
      <c r="A10">
        <v>193</v>
      </c>
      <c r="B10">
        <v>197</v>
      </c>
      <c r="C10">
        <v>237</v>
      </c>
      <c r="D10">
        <v>239</v>
      </c>
      <c r="E10">
        <v>241</v>
      </c>
      <c r="F10">
        <v>243</v>
      </c>
      <c r="G10">
        <v>247</v>
      </c>
      <c r="H10">
        <v>249</v>
      </c>
      <c r="I10">
        <v>251</v>
      </c>
      <c r="J10">
        <v>258</v>
      </c>
      <c r="K10">
        <v>260</v>
      </c>
      <c r="L10">
        <v>262</v>
      </c>
      <c r="M10">
        <v>264</v>
      </c>
      <c r="N10">
        <v>266</v>
      </c>
    </row>
    <row r="11" spans="1:15">
      <c r="A11">
        <v>197</v>
      </c>
      <c r="B11">
        <v>200</v>
      </c>
      <c r="C11">
        <v>202</v>
      </c>
      <c r="D11">
        <v>213</v>
      </c>
      <c r="E11">
        <v>215</v>
      </c>
      <c r="F11">
        <v>217</v>
      </c>
      <c r="G11">
        <v>219</v>
      </c>
      <c r="H11">
        <v>221</v>
      </c>
      <c r="I11">
        <v>223</v>
      </c>
      <c r="J11">
        <v>225</v>
      </c>
      <c r="K11">
        <v>227</v>
      </c>
      <c r="L11">
        <v>229</v>
      </c>
      <c r="M11">
        <v>231</v>
      </c>
      <c r="N11">
        <v>233</v>
      </c>
      <c r="O11">
        <v>235</v>
      </c>
    </row>
    <row r="12" spans="1:15">
      <c r="A12">
        <v>202</v>
      </c>
      <c r="B12">
        <v>205</v>
      </c>
      <c r="C12">
        <v>207</v>
      </c>
      <c r="D12">
        <v>209</v>
      </c>
      <c r="E12">
        <v>211</v>
      </c>
    </row>
    <row r="13" spans="1:15">
      <c r="A13">
        <v>251</v>
      </c>
      <c r="B13">
        <v>254</v>
      </c>
      <c r="C13">
        <v>256</v>
      </c>
    </row>
    <row r="14" spans="1:15">
      <c r="A14">
        <v>193</v>
      </c>
      <c r="B14">
        <v>259</v>
      </c>
      <c r="C14">
        <v>276</v>
      </c>
      <c r="D14">
        <v>285</v>
      </c>
    </row>
    <row r="15" spans="1:15">
      <c r="A15">
        <v>285</v>
      </c>
      <c r="B15">
        <v>288</v>
      </c>
      <c r="C15">
        <v>292</v>
      </c>
    </row>
    <row r="16" spans="1:15">
      <c r="A16">
        <v>269</v>
      </c>
      <c r="B16">
        <v>272</v>
      </c>
      <c r="C16">
        <v>274</v>
      </c>
    </row>
    <row r="17" spans="1:16">
      <c r="A17">
        <v>304</v>
      </c>
      <c r="B17">
        <v>307</v>
      </c>
      <c r="C17">
        <v>308</v>
      </c>
    </row>
    <row r="18" spans="1:16">
      <c r="A18">
        <v>393</v>
      </c>
      <c r="B18">
        <v>395</v>
      </c>
      <c r="C18">
        <v>396</v>
      </c>
    </row>
    <row r="19" spans="1:16">
      <c r="A19">
        <v>393</v>
      </c>
      <c r="B19">
        <v>400</v>
      </c>
      <c r="C19">
        <v>401</v>
      </c>
      <c r="D19">
        <v>402</v>
      </c>
      <c r="E19">
        <v>403</v>
      </c>
    </row>
    <row r="20" spans="1:16">
      <c r="A20">
        <v>413</v>
      </c>
      <c r="B20">
        <v>415</v>
      </c>
      <c r="C20">
        <v>416</v>
      </c>
    </row>
    <row r="21" spans="1:16">
      <c r="A21">
        <v>417</v>
      </c>
      <c r="B21">
        <v>419</v>
      </c>
      <c r="C21">
        <v>420</v>
      </c>
      <c r="D21">
        <v>421</v>
      </c>
    </row>
    <row r="22" spans="1:16">
      <c r="A22">
        <v>424</v>
      </c>
      <c r="B22">
        <v>426</v>
      </c>
      <c r="C22">
        <v>427</v>
      </c>
      <c r="D22">
        <v>428</v>
      </c>
      <c r="E22">
        <v>431</v>
      </c>
    </row>
    <row r="23" spans="1:16">
      <c r="A23">
        <v>428</v>
      </c>
      <c r="B23">
        <v>429</v>
      </c>
      <c r="C23">
        <v>430</v>
      </c>
    </row>
    <row r="24" spans="1:16">
      <c r="A24">
        <v>434</v>
      </c>
      <c r="B24">
        <v>436</v>
      </c>
      <c r="C24">
        <v>438</v>
      </c>
      <c r="D24">
        <v>439</v>
      </c>
    </row>
    <row r="25" spans="1:16">
      <c r="A25">
        <v>436</v>
      </c>
      <c r="B25">
        <v>437</v>
      </c>
    </row>
    <row r="26" spans="1:16">
      <c r="A26">
        <v>453</v>
      </c>
      <c r="B26">
        <v>457</v>
      </c>
      <c r="C26">
        <v>459</v>
      </c>
      <c r="D26">
        <v>461</v>
      </c>
      <c r="E26">
        <v>463</v>
      </c>
      <c r="F26">
        <v>465</v>
      </c>
      <c r="G26">
        <v>467</v>
      </c>
      <c r="H26">
        <v>469</v>
      </c>
      <c r="I26">
        <v>471</v>
      </c>
      <c r="J26">
        <v>472</v>
      </c>
      <c r="K26">
        <v>473</v>
      </c>
      <c r="L26">
        <v>475</v>
      </c>
      <c r="M26">
        <v>477</v>
      </c>
      <c r="N26">
        <v>479</v>
      </c>
      <c r="O26">
        <v>481</v>
      </c>
      <c r="P26">
        <v>483</v>
      </c>
    </row>
    <row r="27" spans="1:16">
      <c r="A27">
        <v>532</v>
      </c>
      <c r="B27">
        <v>535</v>
      </c>
      <c r="C27">
        <v>537</v>
      </c>
      <c r="D27">
        <v>539</v>
      </c>
    </row>
  </sheetData>
  <sheetProtection password="E16C" sheet="1" objects="1" scenarios="1"/>
  <customSheetViews>
    <customSheetView guid="{77D4B8AA-2D12-454E-8920-2F102814BFC0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F955BED-3AA5-4ED9-8747-25E63CDA70F7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F999748C-9832-11D8-83FB-00E04C392051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CCF9464-AEC0-4C0F-98A5-E7B17D04C7EE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D3410BB-2371-487E-AAF7-AC8AFE6E56CA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J13:P29"/>
  <sheetViews>
    <sheetView workbookViewId="0">
      <selection activeCell="P30" sqref="P30"/>
    </sheetView>
  </sheetViews>
  <sheetFormatPr defaultRowHeight="12.75"/>
  <cols>
    <col min="10" max="10" width="14.140625" customWidth="1"/>
  </cols>
  <sheetData>
    <row r="13" spans="10:11" ht="27.75" customHeight="1">
      <c r="J13">
        <f>83.52+32.8+31.6</f>
        <v>147.91999999999999</v>
      </c>
      <c r="K13">
        <f>120.98</f>
        <v>120.98</v>
      </c>
    </row>
    <row r="14" spans="10:11">
      <c r="K14">
        <v>49.2</v>
      </c>
    </row>
    <row r="15" spans="10:11">
      <c r="K15">
        <v>47.4</v>
      </c>
    </row>
    <row r="16" spans="10:11">
      <c r="K16">
        <f>SUM(K13:K15)</f>
        <v>217.58</v>
      </c>
    </row>
    <row r="17" spans="10:16">
      <c r="J17">
        <f>J13/8*12</f>
        <v>221.88</v>
      </c>
    </row>
    <row r="20" spans="10:16">
      <c r="J20">
        <v>32.29</v>
      </c>
      <c r="K20">
        <v>45.9</v>
      </c>
    </row>
    <row r="21" spans="10:16">
      <c r="J21">
        <f>J20/8*12</f>
        <v>48.435000000000002</v>
      </c>
    </row>
    <row r="23" spans="10:16">
      <c r="J23">
        <v>21.86</v>
      </c>
      <c r="K23">
        <v>32.799999999999997</v>
      </c>
    </row>
    <row r="24" spans="10:16">
      <c r="J24">
        <f>J23/8*12</f>
        <v>32.79</v>
      </c>
    </row>
    <row r="28" spans="10:16">
      <c r="J28">
        <f>83.52+32.8+31.6</f>
        <v>147.91999999999999</v>
      </c>
      <c r="K28">
        <f>120.98+49.2+47.4</f>
        <v>217.58</v>
      </c>
    </row>
    <row r="29" spans="10:16">
      <c r="J29">
        <f>J28/8*12</f>
        <v>221.88</v>
      </c>
      <c r="P29">
        <f>187.7/6*12</f>
        <v>375.4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Форма_2п</vt:lpstr>
      <vt:lpstr>Форма_3п</vt:lpstr>
      <vt:lpstr>пер2 СНГ</vt:lpstr>
      <vt:lpstr>Пер2СНГБеларусь</vt:lpstr>
      <vt:lpstr>пер2 вне СНГ</vt:lpstr>
      <vt:lpstr>Шаблон</vt:lpstr>
      <vt:lpstr>Cond_2p</vt:lpstr>
      <vt:lpstr>Subjects</vt:lpstr>
      <vt:lpstr>Cond_3p</vt:lpstr>
      <vt:lpstr>Лист1</vt:lpstr>
      <vt:lpstr>Форма_2п!__DdeLink__72_3229429469</vt:lpstr>
      <vt:lpstr>Форма_2п!_Toc38347883</vt:lpstr>
      <vt:lpstr>Форма_2п!Заголовки_для_печати</vt:lpstr>
      <vt:lpstr>Cond_2p!Область_печати</vt:lpstr>
      <vt:lpstr>Форма_2п!Область_печати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Владимирович Петров</dc:creator>
  <cp:lastModifiedBy>Рогозина Ирина Григорьевна</cp:lastModifiedBy>
  <cp:lastPrinted>2019-10-07T09:24:39Z</cp:lastPrinted>
  <dcterms:created xsi:type="dcterms:W3CDTF">2002-02-04T13:12:50Z</dcterms:created>
  <dcterms:modified xsi:type="dcterms:W3CDTF">2019-11-14T08:45:13Z</dcterms:modified>
</cp:coreProperties>
</file>